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tables/table7.xml" ContentType="application/vnd.openxmlformats-officedocument.spreadsheetml.table+xml"/>
  <Override PartName="/xl/sharedStrings.xml" ContentType="application/vnd.openxmlformats-officedocument.spreadsheetml.sharedStrings+xml"/>
  <Override PartName="/xl/tables/table6.xml" ContentType="application/vnd.openxmlformats-officedocument.spreadsheetml.table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tables/table4.xml" ContentType="application/vnd.openxmlformats-officedocument.spreadsheetml.table+xml"/>
  <Override PartName="/xl/tables/table3.xml" ContentType="application/vnd.openxmlformats-officedocument.spreadsheetml.table+xml"/>
  <Override PartName="/xl/worksheets/sheet2.xml" ContentType="application/vnd.openxmlformats-officedocument.spreadsheetml.worksheet+xml"/>
  <Override PartName="/xl/tables/table5.xml" ContentType="application/vnd.openxmlformats-officedocument.spreadsheetml.table+xml"/>
  <Override PartName="/xl/tables/table2.xml" ContentType="application/vnd.openxmlformats-officedocument.spreadsheetml.table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Übersicht" sheetId="1" state="visible" r:id="rId1"/>
    <sheet name="Finanzplan StuPa" sheetId="2" state="visible" r:id="rId2"/>
    <sheet name="Ausgaben" sheetId="3" state="visible" r:id="rId3"/>
    <sheet name="Einnahmen" sheetId="4" state="visible" r:id="rId4"/>
    <sheet name="Reference" sheetId="5" state="visible" r:id="rId5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<sst xmlns="http://schemas.openxmlformats.org/spreadsheetml/2006/main" count="312" uniqueCount="312">
  <si>
    <t xml:space="preserve">Übersicht Finanzplan Campusfestival 2025</t>
  </si>
  <si>
    <t>Ausgaben</t>
  </si>
  <si>
    <t>Einnahmen</t>
  </si>
  <si>
    <t>Gesamtumsatz</t>
  </si>
  <si>
    <t>Bilanz</t>
  </si>
  <si>
    <t xml:space="preserve">Umsatz nach Kategorien</t>
  </si>
  <si>
    <t xml:space="preserve">Umsatz nach AKs</t>
  </si>
  <si>
    <t>Kategorie</t>
  </si>
  <si>
    <t xml:space="preserve">Beschluss StuPa</t>
  </si>
  <si>
    <t>Aktuell</t>
  </si>
  <si>
    <t xml:space="preserve">Differenz (übrig nach StuPa)</t>
  </si>
  <si>
    <t>Arbeitskreis</t>
  </si>
  <si>
    <t xml:space="preserve">Anzahl Posten</t>
  </si>
  <si>
    <t xml:space="preserve">Ausgaben Gesamtanteil %</t>
  </si>
  <si>
    <t xml:space="preserve">Einnahmen Gesamtanteil %</t>
  </si>
  <si>
    <t>Gesamt</t>
  </si>
  <si>
    <t>Finanzplan</t>
  </si>
  <si>
    <t xml:space="preserve">Campusfestival Kiel 2025</t>
  </si>
  <si>
    <t>Kostenstelle</t>
  </si>
  <si>
    <t xml:space="preserve">Abkürzung Kostenstelle</t>
  </si>
  <si>
    <t xml:space="preserve">Umfang nach StuPa</t>
  </si>
  <si>
    <t xml:space="preserve">Umfang aktuelle Kalkulation</t>
  </si>
  <si>
    <t>Differenz</t>
  </si>
  <si>
    <t xml:space="preserve">Empfehlung Änderung</t>
  </si>
  <si>
    <t xml:space="preserve">Differenz Änderung</t>
  </si>
  <si>
    <t xml:space="preserve">Umfang 2024</t>
  </si>
  <si>
    <t xml:space="preserve">Ausschöpfung Budget</t>
  </si>
  <si>
    <t xml:space="preserve">Anzahl zugehörige Posten</t>
  </si>
  <si>
    <t xml:space="preserve">Keine passende Kostenstelle</t>
  </si>
  <si>
    <t>000-FEHLT</t>
  </si>
  <si>
    <t>Veranstaltungskosten</t>
  </si>
  <si>
    <t>Booking</t>
  </si>
  <si>
    <t>001-Booking</t>
  </si>
  <si>
    <t xml:space="preserve">Künstler Sozialkasse</t>
  </si>
  <si>
    <t>002-KünstSK</t>
  </si>
  <si>
    <t>Versicherungsgebühren</t>
  </si>
  <si>
    <t>003-Versich</t>
  </si>
  <si>
    <t>GEMA</t>
  </si>
  <si>
    <t>004-GEMA</t>
  </si>
  <si>
    <t xml:space="preserve">Bühne 1</t>
  </si>
  <si>
    <t>005-Bühne1</t>
  </si>
  <si>
    <t xml:space="preserve">Bühne 2</t>
  </si>
  <si>
    <t>006-Bühne2</t>
  </si>
  <si>
    <t>Logistikkosten</t>
  </si>
  <si>
    <t>007-Logisitk</t>
  </si>
  <si>
    <t>Projektmanagementtool</t>
  </si>
  <si>
    <t>008-OpenProj</t>
  </si>
  <si>
    <t xml:space="preserve">T-Shirts &amp; Pullis Team &amp; Crew</t>
  </si>
  <si>
    <t>009-TShirts</t>
  </si>
  <si>
    <t xml:space="preserve">Catering Team</t>
  </si>
  <si>
    <t>010-Catering</t>
  </si>
  <si>
    <t xml:space="preserve">Absperrungen (BZ, Mannheimer)</t>
  </si>
  <si>
    <t>011-Absperrungen</t>
  </si>
  <si>
    <t xml:space="preserve">IBC-Tanks, Ballast</t>
  </si>
  <si>
    <t>012-Ballast</t>
  </si>
  <si>
    <t>Workshopangebote</t>
  </si>
  <si>
    <t>013-Workshops</t>
  </si>
  <si>
    <t xml:space="preserve">Vergütung Captains</t>
  </si>
  <si>
    <t>101-Captain</t>
  </si>
  <si>
    <t>Personalkosten</t>
  </si>
  <si>
    <t>Security</t>
  </si>
  <si>
    <t>102-Security</t>
  </si>
  <si>
    <t>Sanitätsdienst</t>
  </si>
  <si>
    <t>103-Sanis</t>
  </si>
  <si>
    <t>Awarenessteam</t>
  </si>
  <si>
    <t>104-Awaren</t>
  </si>
  <si>
    <t xml:space="preserve">EK Essen</t>
  </si>
  <si>
    <t>201-EKFood</t>
  </si>
  <si>
    <t xml:space="preserve">Repr- &amp; Bewirtung</t>
  </si>
  <si>
    <t xml:space="preserve">EK Getränke</t>
  </si>
  <si>
    <t>202-EKDrink</t>
  </si>
  <si>
    <t>Öffentlichkeitsarbeit</t>
  </si>
  <si>
    <t>301-Werbung</t>
  </si>
  <si>
    <t xml:space="preserve">Druck- und Werbung</t>
  </si>
  <si>
    <t>Printwerbung</t>
  </si>
  <si>
    <t>302-WerbungPrint</t>
  </si>
  <si>
    <t xml:space="preserve">Digitale Werbung</t>
  </si>
  <si>
    <t>303-WerbungDigital</t>
  </si>
  <si>
    <t xml:space="preserve">Sonst. Gebühren</t>
  </si>
  <si>
    <t>401-Gebühren</t>
  </si>
  <si>
    <t>Sonstiges</t>
  </si>
  <si>
    <t>Verbrauchsmaterial</t>
  </si>
  <si>
    <t>402-Verbrauch</t>
  </si>
  <si>
    <t xml:space="preserve">Dekoration / Ausstattung</t>
  </si>
  <si>
    <t>403-Deko</t>
  </si>
  <si>
    <t>Pavillions</t>
  </si>
  <si>
    <t>404-Pavillon</t>
  </si>
  <si>
    <t xml:space="preserve">Toilettennutzung inkl. Reinigung</t>
  </si>
  <si>
    <t>405-WCStuWe</t>
  </si>
  <si>
    <t>Sponsoring</t>
  </si>
  <si>
    <t>901-Sponsor</t>
  </si>
  <si>
    <t xml:space="preserve">Förderung 1</t>
  </si>
  <si>
    <t>902-Förder1</t>
  </si>
  <si>
    <t xml:space="preserve">Förderung 2</t>
  </si>
  <si>
    <t>903-Förder2</t>
  </si>
  <si>
    <t xml:space="preserve">VK Getränke</t>
  </si>
  <si>
    <t>904-VKDrink</t>
  </si>
  <si>
    <t xml:space="preserve">VK Essen</t>
  </si>
  <si>
    <t>905-VKFood</t>
  </si>
  <si>
    <t xml:space="preserve">Standgebüren / Umsatzbeteiligung</t>
  </si>
  <si>
    <t>908-Standgebü</t>
  </si>
  <si>
    <t xml:space="preserve">Ausgaben Campusfestival Kiel 2025</t>
  </si>
  <si>
    <t>Beschreibung</t>
  </si>
  <si>
    <t>Gesamtausgaben</t>
  </si>
  <si>
    <t>Nr</t>
  </si>
  <si>
    <t>Position</t>
  </si>
  <si>
    <t>Quelle</t>
  </si>
  <si>
    <t>Anwendung</t>
  </si>
  <si>
    <t xml:space="preserve">Umfang [€]</t>
  </si>
  <si>
    <t xml:space="preserve">Split mit [Nr]</t>
  </si>
  <si>
    <t xml:space="preserve">Kostenstelle [Auswahl]</t>
  </si>
  <si>
    <t xml:space="preserve">zuletzt editiert [Datum]</t>
  </si>
  <si>
    <t xml:space="preserve">Person [Name]</t>
  </si>
  <si>
    <t xml:space="preserve">Arbeitskreis [Auswahl]</t>
  </si>
  <si>
    <t xml:space="preserve">Ben. 3 Ang. [auto]</t>
  </si>
  <si>
    <t xml:space="preserve">Vergaberichtlininen beachtet + begründet [Ja/Nein]</t>
  </si>
  <si>
    <t xml:space="preserve">Festgelegt [Datum]</t>
  </si>
  <si>
    <t xml:space="preserve">Angebot [Link Onedrive]</t>
  </si>
  <si>
    <t xml:space="preserve">Rechnung [Link OneDrive]</t>
  </si>
  <si>
    <t xml:space="preserve">Bezahlt [Datum]</t>
  </si>
  <si>
    <t xml:space="preserve">Toilettennutzung + Service</t>
  </si>
  <si>
    <t xml:space="preserve">Studentenwerk SH</t>
  </si>
  <si>
    <t>Dennis</t>
  </si>
  <si>
    <t>Infrastruktur</t>
  </si>
  <si>
    <t>Ja</t>
  </si>
  <si>
    <t>JA</t>
  </si>
  <si>
    <t xml:space="preserve">Mittagessen Crew 6.6.</t>
  </si>
  <si>
    <t>Team-Orga</t>
  </si>
  <si>
    <t>EventServiceNord</t>
  </si>
  <si>
    <t xml:space="preserve">Bühne + Technik</t>
  </si>
  <si>
    <t xml:space="preserve">Bühne 1 Nebenkosten</t>
  </si>
  <si>
    <t>NORDtec</t>
  </si>
  <si>
    <t xml:space="preserve">Bühne 2 Lichttechnik</t>
  </si>
  <si>
    <t>Veranstaltungsversicherung</t>
  </si>
  <si>
    <t>fairsicherungsladen</t>
  </si>
  <si>
    <t>Projektleitung</t>
  </si>
  <si>
    <t xml:space="preserve">GEMA (Tarif U-ST I)</t>
  </si>
  <si>
    <t>Hotel</t>
  </si>
  <si>
    <t xml:space="preserve">Miete Absperrungen</t>
  </si>
  <si>
    <t>Barrier24</t>
  </si>
  <si>
    <t>Sicherheitsdienst</t>
  </si>
  <si>
    <t xml:space="preserve">Snacks Crewtreffen 28.01.25</t>
  </si>
  <si>
    <t>Aldi</t>
  </si>
  <si>
    <t>Amelie</t>
  </si>
  <si>
    <t>Crew</t>
  </si>
  <si>
    <t>ja</t>
  </si>
  <si>
    <t xml:space="preserve">LOPPOKAFFEE - Marktforschung</t>
  </si>
  <si>
    <t>LOPPO</t>
  </si>
  <si>
    <t xml:space="preserve">ja </t>
  </si>
  <si>
    <t xml:space="preserve">Miete Ballastierung</t>
  </si>
  <si>
    <t>ESN</t>
  </si>
  <si>
    <t xml:space="preserve">Sticker Runde 1 rund + rechteckig</t>
  </si>
  <si>
    <t>flyeralarm</t>
  </si>
  <si>
    <t>Acroyoga</t>
  </si>
  <si>
    <t xml:space="preserve">Simon Weißwange</t>
  </si>
  <si>
    <t>Honorar</t>
  </si>
  <si>
    <t>Workshops</t>
  </si>
  <si>
    <t xml:space="preserve">Circus143 Jonglageworkshop</t>
  </si>
  <si>
    <t>Circus143</t>
  </si>
  <si>
    <t>Cocktailworkshop/Tasting</t>
  </si>
  <si>
    <t>REWE</t>
  </si>
  <si>
    <t>Material</t>
  </si>
  <si>
    <t>FnB</t>
  </si>
  <si>
    <t>Zeichenautomat</t>
  </si>
  <si>
    <t>bubette</t>
  </si>
  <si>
    <t>Kinderangebot</t>
  </si>
  <si>
    <t xml:space="preserve">Playing ArtWork Simone Gerhard</t>
  </si>
  <si>
    <t>Cornhole-Set</t>
  </si>
  <si>
    <t>Dectahlon</t>
  </si>
  <si>
    <t xml:space="preserve">Lichttechniker B2</t>
  </si>
  <si>
    <t xml:space="preserve">Kewin Trautmann</t>
  </si>
  <si>
    <t xml:space="preserve">Tontechniker B2</t>
  </si>
  <si>
    <t xml:space="preserve">Jan Schnippering</t>
  </si>
  <si>
    <t>gemischt</t>
  </si>
  <si>
    <t xml:space="preserve">Sanitätsdienst Trupp</t>
  </si>
  <si>
    <t>DRK</t>
  </si>
  <si>
    <t xml:space="preserve">20 Std x 2</t>
  </si>
  <si>
    <t xml:space="preserve">Sanitätsdienst KTW</t>
  </si>
  <si>
    <t xml:space="preserve">10 Std x 1</t>
  </si>
  <si>
    <t xml:space="preserve">Plakate A1</t>
  </si>
  <si>
    <t>WMD</t>
  </si>
  <si>
    <t xml:space="preserve">400 Stk</t>
  </si>
  <si>
    <t xml:space="preserve">Plakate A2</t>
  </si>
  <si>
    <t xml:space="preserve">100 Stk</t>
  </si>
  <si>
    <t xml:space="preserve">Plakate A3</t>
  </si>
  <si>
    <t xml:space="preserve">75 Stk</t>
  </si>
  <si>
    <t xml:space="preserve">Werbung über Thomsen</t>
  </si>
  <si>
    <t xml:space="preserve">Thomsen WMV</t>
  </si>
  <si>
    <t>T-Shirts</t>
  </si>
  <si>
    <t xml:space="preserve">Miete Schankequipment</t>
  </si>
  <si>
    <t xml:space="preserve">fsc Schanklogistik</t>
  </si>
  <si>
    <t>Plakatkleister</t>
  </si>
  <si>
    <t xml:space="preserve">Bühne 2 Fahrtkosten</t>
  </si>
  <si>
    <t xml:space="preserve">Headsets für Funkgeräte</t>
  </si>
  <si>
    <t>keimfunk.de</t>
  </si>
  <si>
    <t xml:space="preserve">Große Gestattung</t>
  </si>
  <si>
    <t xml:space="preserve">Kleine Gestattung 1</t>
  </si>
  <si>
    <t xml:space="preserve">Kleine Gestattung 2</t>
  </si>
  <si>
    <t xml:space="preserve">Fehlmenge Schanklogistik</t>
  </si>
  <si>
    <t xml:space="preserve">Petersen &amp; Sohn</t>
  </si>
  <si>
    <t>Dankeschöns</t>
  </si>
  <si>
    <t xml:space="preserve">Klebeband und Material Nachkauf</t>
  </si>
  <si>
    <t>allbuyone</t>
  </si>
  <si>
    <t xml:space="preserve">Crewtreffen 21.03. Pizza</t>
  </si>
  <si>
    <t>PENNY</t>
  </si>
  <si>
    <t>Crewtreffen</t>
  </si>
  <si>
    <t xml:space="preserve">Router + Kabel für WLAN</t>
  </si>
  <si>
    <t>Amazon/TP-Link</t>
  </si>
  <si>
    <t>Netzwerk</t>
  </si>
  <si>
    <t xml:space="preserve">Crewtreffen 21.03. Nachspeise</t>
  </si>
  <si>
    <t xml:space="preserve">Spanngurte Zelte</t>
  </si>
  <si>
    <t>spanngurt-profi.de</t>
  </si>
  <si>
    <t xml:space="preserve">Sicherung Pavillons</t>
  </si>
  <si>
    <t xml:space="preserve">Erdnägel Zelte</t>
  </si>
  <si>
    <t>Schenkspass</t>
  </si>
  <si>
    <t xml:space="preserve">Flyer für Mensen</t>
  </si>
  <si>
    <t xml:space="preserve">Ehrenamtsvergütung Captains</t>
  </si>
  <si>
    <t xml:space="preserve">Plakatstörer + Sticker für AStA-Logos</t>
  </si>
  <si>
    <t xml:space="preserve">Avery Zweckform</t>
  </si>
  <si>
    <t xml:space="preserve">Sidewings B1</t>
  </si>
  <si>
    <t xml:space="preserve">Backdrop B2</t>
  </si>
  <si>
    <t>Instrumentenmiete</t>
  </si>
  <si>
    <t xml:space="preserve">Sticker für Plakate</t>
  </si>
  <si>
    <t xml:space="preserve">dm - Sonnencreme, etc</t>
  </si>
  <si>
    <t xml:space="preserve">Catering Aufbauwoche</t>
  </si>
  <si>
    <t xml:space="preserve">Material Cocktailstand</t>
  </si>
  <si>
    <t xml:space="preserve">Abschlussgrillen Crew</t>
  </si>
  <si>
    <t>Glitzerschminken</t>
  </si>
  <si>
    <t>Kauf</t>
  </si>
  <si>
    <t xml:space="preserve">Plakate in Kiel (Gebühr)</t>
  </si>
  <si>
    <t xml:space="preserve">Bauzaunbanner (7 Stk)</t>
  </si>
  <si>
    <t xml:space="preserve">Auffangnetz Deko 10x5m²</t>
  </si>
  <si>
    <t xml:space="preserve">kleinanzeigen über Dennis</t>
  </si>
  <si>
    <t>Deko</t>
  </si>
  <si>
    <t xml:space="preserve">zu erstellen</t>
  </si>
  <si>
    <t xml:space="preserve">Verpflegung Crewtreffen 14.04.</t>
  </si>
  <si>
    <t>Penny</t>
  </si>
  <si>
    <t xml:space="preserve">Dekoration Trusstower</t>
  </si>
  <si>
    <t xml:space="preserve">Event WG</t>
  </si>
  <si>
    <t xml:space="preserve">Produktpräsentation Cocktails</t>
  </si>
  <si>
    <t>Miettransporter</t>
  </si>
  <si>
    <t>CarlundCarla.de</t>
  </si>
  <si>
    <t>Aftermovie</t>
  </si>
  <si>
    <t>??</t>
  </si>
  <si>
    <t xml:space="preserve">Insta Plakat 10T a 35€</t>
  </si>
  <si>
    <t xml:space="preserve">Insta LineUp 6T a 20€</t>
  </si>
  <si>
    <t xml:space="preserve">Insta Headliner 5T a 25€</t>
  </si>
  <si>
    <t xml:space="preserve">Insta Teamaufruf 10T a 7€</t>
  </si>
  <si>
    <t xml:space="preserve">Insta Gesamtinfo 14T a 30€</t>
  </si>
  <si>
    <t xml:space="preserve">Spritkosten Transporter</t>
  </si>
  <si>
    <t>15L</t>
  </si>
  <si>
    <t xml:space="preserve">Portionierer 4cl 12 Stk</t>
  </si>
  <si>
    <t>Amazon</t>
  </si>
  <si>
    <t>Storniert</t>
  </si>
  <si>
    <t xml:space="preserve">Dekoration Material</t>
  </si>
  <si>
    <t>Bauhaus</t>
  </si>
  <si>
    <t xml:space="preserve">RGen Instagram</t>
  </si>
  <si>
    <t xml:space="preserve">Sammlung der Rechnungen</t>
  </si>
  <si>
    <t>Festivalbändchen</t>
  </si>
  <si>
    <t>phoenix-print.eu</t>
  </si>
  <si>
    <t>DiggiDaniel</t>
  </si>
  <si>
    <t>Contrapost</t>
  </si>
  <si>
    <t>TütüPlüsch</t>
  </si>
  <si>
    <t>Fløre</t>
  </si>
  <si>
    <t xml:space="preserve">Leo in the Lioncage</t>
  </si>
  <si>
    <t>YU</t>
  </si>
  <si>
    <t xml:space="preserve">Singer 1</t>
  </si>
  <si>
    <t xml:space="preserve">Singer 2</t>
  </si>
  <si>
    <t>Yumen</t>
  </si>
  <si>
    <t xml:space="preserve">Poetry Slamer 1</t>
  </si>
  <si>
    <t xml:space="preserve">Poetry Slamer 2</t>
  </si>
  <si>
    <t xml:space="preserve">Poetry Slamer 3</t>
  </si>
  <si>
    <t xml:space="preserve">Fusion Talks</t>
  </si>
  <si>
    <t xml:space="preserve">The Pinpricks</t>
  </si>
  <si>
    <t xml:space="preserve">Midsomar Collective</t>
  </si>
  <si>
    <t>Funkgeräte</t>
  </si>
  <si>
    <t xml:space="preserve">Musterset Drucksachen</t>
  </si>
  <si>
    <t>wir-machen-druck.de</t>
  </si>
  <si>
    <t xml:space="preserve">Material Basteln 1 Sprühfarbe, Lametta, Farbe</t>
  </si>
  <si>
    <t>div</t>
  </si>
  <si>
    <t>Basteln</t>
  </si>
  <si>
    <t xml:space="preserve">Material Basteln 2 Stoff</t>
  </si>
  <si>
    <t>Stoffsale.de</t>
  </si>
  <si>
    <t xml:space="preserve">Crewpullis 30€ x 16</t>
  </si>
  <si>
    <t xml:space="preserve">Laroid Kiel</t>
  </si>
  <si>
    <t xml:space="preserve">Catering Artists</t>
  </si>
  <si>
    <t>Bäristo</t>
  </si>
  <si>
    <t xml:space="preserve">Miete Pavillons Jura</t>
  </si>
  <si>
    <t xml:space="preserve">Einnahmen Campusfestival Kiel 2025</t>
  </si>
  <si>
    <t>Gesamteinnahmen</t>
  </si>
  <si>
    <t>Umfang</t>
  </si>
  <si>
    <t xml:space="preserve">zuletzt editiert</t>
  </si>
  <si>
    <t>Person</t>
  </si>
  <si>
    <t xml:space="preserve">Summe festgelegt</t>
  </si>
  <si>
    <t xml:space="preserve">Summe an AStA bezahlt</t>
  </si>
  <si>
    <t xml:space="preserve">Vorgang abgeschlossen</t>
  </si>
  <si>
    <t xml:space="preserve">Sponsoring TK</t>
  </si>
  <si>
    <t>TK</t>
  </si>
  <si>
    <t>Projektförderung</t>
  </si>
  <si>
    <t xml:space="preserve">Stadt Kiel</t>
  </si>
  <si>
    <t xml:space="preserve">Petersen Getränke</t>
  </si>
  <si>
    <t>Kiel.Works</t>
  </si>
  <si>
    <t xml:space="preserve">Partnerschaft für Demokratie</t>
  </si>
  <si>
    <t>PfD</t>
  </si>
  <si>
    <t xml:space="preserve">Sponsoring KN oder REWE</t>
  </si>
  <si>
    <t xml:space="preserve">erw. Umsatzbeteiligung</t>
  </si>
  <si>
    <t>Referenzwerte</t>
  </si>
  <si>
    <t>Arbeitskreise</t>
  </si>
  <si>
    <t>Katergorien</t>
  </si>
  <si>
    <t>Awareness</t>
  </si>
  <si>
    <t xml:space="preserve">IT + Website</t>
  </si>
  <si>
    <t>Dokumentation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</si>
</sst>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000"/>
    <numFmt numFmtId="166" formatCode="dd/mm/yyyy"/>
  </numFmts>
  <fonts count="7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b/>
      <sz val="15.000000"/>
      <color theme="3"/>
      <name val="Calibri"/>
      <scheme val="minor"/>
    </font>
    <font>
      <b/>
      <sz val="13.000000"/>
      <color theme="3"/>
      <name val="Calibri"/>
      <scheme val="minor"/>
    </font>
    <font>
      <b/>
      <sz val="10.000000"/>
      <color theme="3"/>
      <name val="Calibri"/>
      <scheme val="minor"/>
    </font>
    <font>
      <sz val="11.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6">
    <border>
      <left style="none"/>
      <right style="none"/>
      <top style="none"/>
      <bottom style="none"/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  <border>
      <left style="none"/>
      <right style="none"/>
      <top style="none"/>
      <bottom style="thick">
        <color theme="4"/>
      </bottom>
      <diagonal style="none"/>
    </border>
    <border>
      <left style="none"/>
      <right style="none"/>
      <top style="none"/>
      <bottom style="thick">
        <color theme="4" tint="0.499984740745262"/>
      </bottom>
      <diagonal style="none"/>
    </border>
    <border>
      <left style="none"/>
      <right style="none"/>
      <top style="thick">
        <color theme="4"/>
      </top>
      <bottom style="none"/>
      <diagonal style="none"/>
    </border>
    <border>
      <left style="none"/>
      <right style="none"/>
      <top style="thin">
        <color theme="4" tint="0.39997558519241921"/>
      </top>
      <bottom style="thin">
        <color theme="4" tint="0.39997558519241921"/>
      </bottom>
      <diagonal style="none"/>
    </border>
  </borders>
  <cellStyleXfs count="7">
    <xf fontId="0" fillId="0" borderId="0" numFmtId="0" applyNumberFormat="1" applyFont="1" applyFill="1" applyBorder="1"/>
    <xf fontId="1" fillId="0" borderId="1" numFmtId="0" applyNumberFormat="0" applyFont="1" applyFill="0" applyBorder="1" applyProtection="0"/>
    <xf fontId="2" fillId="0" borderId="0" numFmtId="0" applyNumberFormat="0" applyFont="1" applyFill="0" applyBorder="0" applyProtection="0"/>
    <xf fontId="0" fillId="0" borderId="0" numFmtId="9" applyNumberFormat="1" applyFont="0" applyFill="0" applyBorder="0" applyProtection="0"/>
    <xf fontId="3" fillId="0" borderId="2" numFmtId="0" applyNumberFormat="0" applyFont="1" applyFill="0" applyBorder="1" applyProtection="0"/>
    <xf fontId="4" fillId="0" borderId="3" numFmtId="0" applyNumberFormat="0" applyFont="1" applyFill="0" applyBorder="1" applyProtection="0"/>
    <xf fontId="0" fillId="0" borderId="0" numFmtId="164" applyNumberFormat="1" applyFont="0" applyFill="0" applyBorder="0" applyProtection="0"/>
  </cellStyleXfs>
  <cellXfs count="35">
    <xf fontId="0" fillId="0" borderId="0" numFmtId="0" xfId="0"/>
    <xf fontId="3" fillId="0" borderId="2" numFmtId="0" xfId="4" applyFont="1" applyBorder="1"/>
    <xf fontId="0" fillId="0" borderId="0" numFmtId="164" xfId="0" applyNumberFormat="1"/>
    <xf fontId="1" fillId="0" borderId="1" numFmtId="0" xfId="1" applyFont="1" applyBorder="1"/>
    <xf fontId="1" fillId="0" borderId="1" numFmtId="164" xfId="6" applyNumberFormat="1" applyFont="1" applyBorder="1"/>
    <xf fontId="4" fillId="0" borderId="3" numFmtId="0" xfId="5" applyFont="1" applyBorder="1"/>
    <xf fontId="4" fillId="0" borderId="0" numFmtId="0" xfId="5" applyFont="1"/>
    <xf fontId="0" fillId="0" borderId="0" numFmtId="0" xfId="0" applyAlignment="1">
      <alignment horizontal="center" vertical="center" wrapText="1"/>
    </xf>
    <xf fontId="0" fillId="0" borderId="0" numFmtId="164" xfId="6" applyNumberFormat="1"/>
    <xf fontId="0" fillId="0" borderId="0" numFmtId="9" xfId="3" applyNumberFormat="1" applyAlignment="1">
      <alignment horizontal="center"/>
    </xf>
    <xf fontId="0" fillId="0" borderId="0" numFmtId="0" xfId="0" applyAlignment="1">
      <alignment horizontal="left"/>
    </xf>
    <xf fontId="0" fillId="0" borderId="0" numFmtId="0" xfId="0" applyAlignment="1">
      <alignment horizontal="left"/>
    </xf>
    <xf fontId="0" fillId="0" borderId="0" numFmtId="0" xfId="0" applyAlignment="1">
      <alignment vertical="center" wrapText="1"/>
    </xf>
    <xf fontId="0" fillId="0" borderId="0" numFmtId="0" xfId="0" applyAlignment="1">
      <alignment vertical="center" wrapText="1"/>
    </xf>
    <xf fontId="0" fillId="0" borderId="0" numFmtId="1" xfId="6" applyNumberFormat="1" applyAlignment="1">
      <alignment horizontal="center"/>
    </xf>
    <xf fontId="0" fillId="0" borderId="0" numFmtId="164" xfId="6" applyNumberFormat="1" applyAlignment="1">
      <alignment horizontal="center"/>
    </xf>
    <xf fontId="0" fillId="0" borderId="0" numFmtId="164" xfId="6" applyNumberFormat="1" applyAlignment="1">
      <alignment horizontal="left"/>
    </xf>
    <xf fontId="0" fillId="0" borderId="0" numFmtId="9" xfId="0" applyNumberFormat="1" applyAlignment="1">
      <alignment horizontal="center"/>
    </xf>
    <xf fontId="0" fillId="0" borderId="0" numFmtId="1" xfId="0" applyNumberFormat="1" applyAlignment="1">
      <alignment horizontal="center"/>
    </xf>
    <xf fontId="0" fillId="0" borderId="4" numFmtId="0" xfId="0" applyBorder="1" applyAlignment="1">
      <alignment horizontal="left"/>
    </xf>
    <xf fontId="5" fillId="0" borderId="3" numFmtId="164" xfId="5" applyNumberFormat="1" applyFont="1" applyBorder="1"/>
    <xf fontId="0" fillId="0" borderId="0" numFmtId="165" xfId="0" applyNumberFormat="1"/>
    <xf fontId="0" fillId="0" borderId="0" numFmtId="165" xfId="6" applyNumberFormat="1"/>
    <xf fontId="0" fillId="0" borderId="0" numFmtId="14" xfId="0" applyNumberFormat="1"/>
    <xf fontId="0" fillId="0" borderId="0" numFmtId="0" xfId="0" applyAlignment="1">
      <alignment horizontal="center"/>
    </xf>
    <xf fontId="6" fillId="0" borderId="0" numFmtId="0" xfId="0" applyFont="1"/>
    <xf fontId="6" fillId="0" borderId="0" numFmtId="0" xfId="2" applyFont="1"/>
    <xf fontId="6" fillId="0" borderId="0" numFmtId="14" xfId="0" applyNumberFormat="1" applyFont="1"/>
    <xf fontId="0" fillId="0" borderId="0" numFmtId="16" xfId="0" applyNumberFormat="1"/>
    <xf fontId="0" fillId="0" borderId="0" numFmtId="166" xfId="0" applyNumberFormat="1"/>
    <xf fontId="0" fillId="0" borderId="0" numFmtId="0" xfId="0">
      <protection hidden="0" locked="1"/>
    </xf>
    <xf fontId="4" fillId="0" borderId="3" numFmtId="164" xfId="5" applyNumberFormat="1" applyFont="1" applyBorder="1"/>
    <xf fontId="0" fillId="0" borderId="0" numFmtId="0" xfId="6"/>
    <xf fontId="0" fillId="2" borderId="5" numFmtId="0" xfId="0" applyFill="1" applyBorder="1"/>
    <xf fontId="0" fillId="0" borderId="5" numFmtId="0" xfId="0" applyBorder="1"/>
  </cellXfs>
  <cellStyles count="7">
    <cellStyle name="Ergebnis" xfId="1" builtinId="25"/>
    <cellStyle name="Link" xfId="2" builtinId="8"/>
    <cellStyle name="Prozent" xfId="3" builtinId="5"/>
    <cellStyle name="Standard" xfId="0" builtinId="0"/>
    <cellStyle name="Überschrift 1" xfId="4" builtinId="16"/>
    <cellStyle name="Überschrift 2" xfId="5" builtinId="17"/>
    <cellStyle name="Währung" xfId="6" builtinId="4"/>
  </cellStyles>
  <dxfs count="19">
    <dxf>
      <numFmt numFmtId="0" formatCode="General"/>
    </dxf>
    <dxf>
      <numFmt numFmtId="164" formatCode="_-* #,##0.00\ &quot;€&quot;_-;\-* #,##0.00\ &quot;€&quot;_-;_-* &quot;-&quot;??\ &quot;€&quot;_-;_-@_-"/>
    </dxf>
    <dxf>
      <numFmt numFmtId="0" formatCode="General"/>
    </dxf>
    <dxf>
      <numFmt numFmtId="9" formatCode="0%"/>
      <alignment horizontal="center" indent="0" relativeIndent="0" shrinkToFit="0" textRotation="0" vertical="bottom" wrapText="0"/>
    </dxf>
    <dxf>
      <numFmt numFmtId="9" formatCode="0%"/>
      <alignment horizontal="center" indent="0" relativeIndent="0" shrinkToFit="0" textRotation="0" vertical="bottom" wrapText="0"/>
    </dxf>
    <dxf>
      <numFmt numFmtId="164" formatCode="_-* #,##0.00\ &quot;€&quot;_-;\-* #,##0.00\ &quot;€&quot;_-;_-* &quot;-&quot;??\ &quot;€&quot;_-;_-@_-"/>
    </dxf>
    <dxf>
      <font>
        <b val="0"/>
        <i val="0"/>
        <strike val="0"/>
        <u val="none"/>
        <vertAlign val="baseline"/>
        <sz val="11.000000"/>
        <color theme="1"/>
        <name val="Calibri"/>
        <scheme val="minor"/>
      </font>
      <numFmt numFmtId="164" formatCode="_-* #,##0.00\ &quot;€&quot;_-;\-* #,##0.00\ &quot;€&quot;_-;_-* &quot;-&quot;??\ &quot;€&quot;_-;_-@_-"/>
    </dxf>
    <dxf>
      <font>
        <b val="0"/>
        <i val="0"/>
        <strike val="0"/>
        <u val="none"/>
        <vertAlign val="baseline"/>
        <sz val="11.000000"/>
        <color theme="1"/>
        <name val="Calibri"/>
        <scheme val="minor"/>
      </font>
    </dxf>
    <dxf>
      <font>
        <b val="0"/>
        <i val="0"/>
        <strike val="0"/>
        <u val="none"/>
        <vertAlign val="baseline"/>
        <sz val="11.000000"/>
        <color theme="1"/>
        <name val="Calibri"/>
        <scheme val="minor"/>
      </font>
      <numFmt numFmtId="9" formatCode="0%"/>
      <alignment horizontal="center" indent="0" relativeIndent="0" shrinkToFit="0" textRotation="0" vertical="bottom" wrapText="0"/>
    </dxf>
    <dxf>
      <font>
        <b val="0"/>
        <i val="0"/>
        <strike val="0"/>
        <u val="none"/>
        <vertAlign val="baseline"/>
        <sz val="11.000000"/>
        <color theme="1"/>
        <name val="Calibri"/>
        <scheme val="minor"/>
      </font>
      <numFmt numFmtId="1" formatCode="0"/>
      <alignment horizontal="center" indent="0" relativeIndent="0" shrinkToFit="0" textRotation="0" vertical="bottom" wrapText="0"/>
    </dxf>
    <dxf>
      <font>
        <b val="0"/>
        <i val="0"/>
        <strike val="0"/>
        <u val="none"/>
        <vertAlign val="baseline"/>
        <sz val="11.000000"/>
        <color theme="1"/>
        <name val="Calibri"/>
        <scheme val="minor"/>
      </font>
      <numFmt numFmtId="165" formatCode="000"/>
    </dxf>
    <dxf>
      <numFmt numFmtId="166" formatCode="dd/mm/yyyy"/>
    </dxf>
    <dxf>
      <numFmt numFmtId="0" formatCode="General"/>
      <alignment horizontal="center" indent="0" relativeIndent="0" shrinkToFit="0" textRotation="0" vertical="bottom" wrapText="0"/>
    </dxf>
    <dxf>
      <alignment horizontal="center" indent="0" relativeIndent="0" shrinkToFit="0" textRotation="0" vertical="bottom" wrapText="0"/>
    </dxf>
    <dxf>
      <font>
        <strike val="0"/>
        <u val="none"/>
        <vertAlign val="baseline"/>
        <sz val="11.000000"/>
        <name val="Calibri"/>
        <scheme val="minor"/>
      </font>
      <fill>
        <patternFill patternType="none"/>
      </fill>
      <alignment indent="0" relativeIndent="0" shrinkToFit="0" textRotation="0" vertical="bottom" wrapText="0"/>
    </dxf>
    <dxf>
      <font>
        <strike val="0"/>
        <u val="none"/>
        <vertAlign val="baseline"/>
        <sz val="11.000000"/>
        <name val="Calibri"/>
        <scheme val="minor"/>
      </font>
      <fill>
        <patternFill patternType="none"/>
      </fill>
      <alignment indent="0" relativeIndent="0" shrinkToFit="0" textRotation="0" vertical="bottom" wrapText="0"/>
    </dxf>
    <dxf>
      <alignment indent="0" relativeIndent="0" shrinkToFit="0" textRotation="0" vertical="bottom" wrapText="0"/>
    </dxf>
    <dxf>
      <numFmt numFmtId="165" formatCode="000"/>
    </dxf>
    <dxf>
      <numFmt numFmtId="166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theme" Target="theme/theme1.xml"/><Relationship  Id="rId7" Type="http://schemas.openxmlformats.org/officeDocument/2006/relationships/sharedStrings" Target="sharedStrings.xml"/><Relationship  Id="rId8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displayName="AusgabenKategorien" ref="A11:D24">
  <autoFilter ref="A11:D24"/>
  <tableColumns count="4">
    <tableColumn id="1" name="Kategorie" dataDxfId="0"/>
    <tableColumn id="2" name="Beschluss StuPa"/>
    <tableColumn id="3" name="Aktuell"/>
    <tableColumn id="4" name="Differenz (übrig nach StuPa)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displayName="Tabelle7" ref="G11:M24">
  <autoFilter ref="G11:M24"/>
  <tableColumns count="7">
    <tableColumn id="1" name="Arbeitskreis" dataDxfId="2"/>
    <tableColumn id="2" name="Anzahl Posten"/>
    <tableColumn id="3" name="Ausgaben"/>
    <tableColumn id="4" name="Ausgaben Gesamtanteil %" dataDxfId="3"/>
    <tableColumn id="5" name="Einnahmen"/>
    <tableColumn id="6" name="Einnahmen Gesamtanteil %" dataDxfId="4"/>
    <tableColumn id="7" name="Gesam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displayName="Finanzplan" ref="A4:K44" totalsRowCount="1">
  <autoFilter ref="A4:K43"/>
  <sortState ref="A5:K43">
    <sortCondition descending="0" ref="B4:B44"/>
  </sortState>
  <tableColumns count="11">
    <tableColumn id="1" name="Kostenstelle"/>
    <tableColumn id="2" name="Abkürzung Kostenstelle"/>
    <tableColumn id="3" name="Kategorie"/>
    <tableColumn id="4" name="Umfang nach StuPa" totalsRowFunction="custom">
      <totalsRowFormula>SUM(Finanzplan[Umfang nach StuPa])</totalsRowFormula>
    </tableColumn>
    <tableColumn id="5" name="Umfang aktuelle Kalkulation" totalsRowFunction="sum" dataDxfId="5"/>
    <tableColumn id="6" name="Differenz" totalsRowFunction="sum" dataDxfId="6"/>
    <tableColumn id="7" name="Empfehlung Änderung" totalsRowFunction="sum"/>
    <tableColumn id="8" name="Differenz Änderung" totalsRowFunction="custom">
      <totalsRowFormula>SUM(Finanzplan[Differenz Änderung])</totalsRowFormula>
    </tableColumn>
    <tableColumn id="9" name="Umfang 2024" totalsRowFunction="sum" dataDxfId="7"/>
    <tableColumn id="10" name="Ausschöpfung Budget" dataDxfId="8"/>
    <tableColumn id="11" name="Anzahl zugehörige Posten" dataDxfId="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displayName="Ausgaben" ref="A6:P205">
  <autoFilter ref="A6:P205"/>
  <sortState ref="G6:G205">
    <sortCondition descending="0" ref="G6:G205"/>
  </sortState>
  <tableColumns count="16">
    <tableColumn id="1" name="Nr"/>
    <tableColumn id="2" name="Position"/>
    <tableColumn id="3" name="Quelle"/>
    <tableColumn id="4" name="Anwendung"/>
    <tableColumn id="5" name="Umfang [€]"/>
    <tableColumn id="6" name="Split mit [Nr]" dataDxfId="10"/>
    <tableColumn id="7" name="Kostenstelle [Auswahl]"/>
    <tableColumn id="8" name="zuletzt editiert [Datum]" dataDxfId="11"/>
    <tableColumn id="9" name="Person [Name]"/>
    <tableColumn id="10" name="Arbeitskreis [Auswahl]"/>
    <tableColumn id="11" name="Ben. 3 Ang. [auto]" dataDxfId="12"/>
    <tableColumn id="12" name="Vergaberichtlininen beachtet + begründet [Ja/Nein]" dataDxfId="13"/>
    <tableColumn id="13" name="Festgelegt [Datum]"/>
    <tableColumn id="14" name="Angebot [Link Onedrive]" dataDxfId="14"/>
    <tableColumn id="15" name="Rechnung [Link OneDrive]" dataDxfId="15"/>
    <tableColumn id="16" name="Bezahlt [Datum]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displayName="Einnahmen" ref="A5:L31">
  <autoFilter ref="A5:L31"/>
  <tableColumns count="12">
    <tableColumn id="1" name="Nr" dataDxfId="17"/>
    <tableColumn id="2" name="Position"/>
    <tableColumn id="3" name="Quelle"/>
    <tableColumn id="4" name="Anwendung"/>
    <tableColumn id="5" name="Umfang"/>
    <tableColumn id="6" name="Kostenstelle"/>
    <tableColumn id="7" name="zuletzt editiert" dataDxfId="18"/>
    <tableColumn id="8" name="Person"/>
    <tableColumn id="9" name="Arbeitskreis"/>
    <tableColumn id="10" name="Summe festgelegt"/>
    <tableColumn id="11" name="Summe an AStA bezahlt"/>
    <tableColumn id="12" name="Vorgang abgeschlossen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displayName="Arbeistkreise" ref="A4:A19">
  <autoFilter ref="A4:A19"/>
  <tableColumns count="1">
    <tableColumn id="1" name="Arbeitskreis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displayName="Kategorien" ref="C4:C19">
  <autoFilter ref="C4:C19"/>
  <tableColumns count="1">
    <tableColumn id="1" name="Katergorien"/>
  </tableColumns>
  <tableStyleInfo name="TableStyleMedium2" showFirstColumn="0" showLastColumn="0" showRowStripes="1" showColumnStripes="0"/>
</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table" Target="../tables/table1.xml"/><Relationship  Id="rId2" Type="http://schemas.openxmlformats.org/officeDocument/2006/relationships/table" Target="../tables/table2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table" Target="../tables/table3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table" Target="../tables/table4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table" Target="../tables/table5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table" Target="../tables/table6.xml"/><Relationship  Id="rId2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9" zoomScale="100" workbookViewId="0">
      <selection activeCell="A34" activeCellId="0" sqref="A34"/>
    </sheetView>
  </sheetViews>
  <sheetFormatPr baseColWidth="10" defaultRowHeight="14.25"/>
  <cols>
    <col customWidth="1" min="1" max="1" width="20.109375"/>
    <col customWidth="1" min="2" max="2" width="15.21875"/>
    <col customWidth="1" min="3" max="3" width="13.77734375"/>
    <col customWidth="1" min="4" max="4" width="14.88671875"/>
    <col customWidth="1" min="7" max="7" width="15.88671875"/>
    <col customWidth="1" min="8" max="8" width="14.77734375"/>
    <col customWidth="1" min="9" max="9" width="13.00390625"/>
    <col customWidth="1" min="10" max="10" width="15.6640625"/>
    <col customWidth="1" min="11" max="11" width="18.88671875"/>
    <col customWidth="1" min="12" max="12" width="16.109375"/>
    <col customWidth="1" min="13" max="13" width="13.6640625"/>
  </cols>
  <sheetData>
    <row r="1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3">
      <c r="A3" t="s">
        <v>1</v>
      </c>
      <c r="B3" s="2">
        <f>Ausgaben!E3</f>
        <v>-59925.179999999993</v>
      </c>
    </row>
    <row r="4">
      <c r="A4" t="s">
        <v>2</v>
      </c>
      <c r="B4" s="2">
        <f>Einnahmen!E3</f>
        <v>8430</v>
      </c>
    </row>
    <row r="5">
      <c r="A5" t="s">
        <v>3</v>
      </c>
      <c r="B5" s="2">
        <f>ABS(B3)+ABS(B4)</f>
        <v>68355.179999999993</v>
      </c>
    </row>
    <row r="6">
      <c r="A6" s="3" t="s">
        <v>4</v>
      </c>
      <c r="B6" s="4">
        <f>B3+B4</f>
        <v>-51495.179999999993</v>
      </c>
    </row>
    <row r="10" ht="17.25">
      <c r="A10" s="5" t="s">
        <v>5</v>
      </c>
      <c r="B10" s="5"/>
      <c r="C10" s="5"/>
      <c r="D10" s="5"/>
      <c r="G10" s="6" t="s">
        <v>6</v>
      </c>
      <c r="H10" s="6"/>
      <c r="I10" s="6"/>
      <c r="J10" s="6"/>
      <c r="K10" s="6"/>
    </row>
    <row r="11" s="7" customFormat="1" ht="54.600000000000001" customHeight="1">
      <c r="A11" s="7" t="s">
        <v>7</v>
      </c>
      <c r="B11" s="7" t="s">
        <v>8</v>
      </c>
      <c r="C11" s="7" t="s">
        <v>9</v>
      </c>
      <c r="D11" s="7" t="s">
        <v>10</v>
      </c>
      <c r="G11" s="7" t="s">
        <v>11</v>
      </c>
      <c r="H11" s="7" t="s">
        <v>12</v>
      </c>
      <c r="I11" s="7" t="s">
        <v>1</v>
      </c>
      <c r="J11" s="7" t="s">
        <v>13</v>
      </c>
      <c r="K11" s="7" t="s">
        <v>2</v>
      </c>
      <c r="L11" s="7" t="s">
        <v>14</v>
      </c>
      <c r="M11" s="7" t="s">
        <v>15</v>
      </c>
    </row>
    <row r="12">
      <c r="A12" t="str">
        <f>Reference!C5</f>
        <v>Veranstaltungskosten</v>
      </c>
      <c r="B12" s="8">
        <f>SUMIF(Finanzplan[Kategorie],AusgabenKategorien[[#This Row],[Kategorie]],Finanzplan[Umfang nach StuPa])</f>
        <v>-48550</v>
      </c>
      <c r="C12" s="8">
        <f>SUMIF(Finanzplan[Kategorie],AusgabenKategorien[[#This Row],[Kategorie]],Finanzplan[Umfang aktuelle Kalkulation])</f>
        <v>-42249.580000000002</v>
      </c>
      <c r="D12" s="2">
        <f>AusgabenKategorien[[#This Row],[Aktuell]]-AusgabenKategorien[[#This Row],[Beschluss StuPa]]</f>
        <v>6300.4199999999983</v>
      </c>
      <c r="G12" t="str">
        <f>Reference!A5</f>
        <v>Booking</v>
      </c>
      <c r="H12">
        <f>COUNTIF(Ausgaben[Arbeitskreis '[Auswahl']],Tabelle7[[#This Row],[Arbeitskreis]])</f>
        <v>15</v>
      </c>
      <c r="I12" s="8">
        <f>SUMIF(Ausgaben[Arbeitskreis '[Auswahl']],Tabelle7[[#This Row],[Arbeitskreis]],Ausgaben[Umfang '[€']])</f>
        <v>-14580</v>
      </c>
      <c r="J12" s="9">
        <f>IFERROR(Tabelle7[[#This Row],[Ausgaben]]/SUM(Tabelle7[Ausgaben]),0)</f>
        <v>0.35875825353135737</v>
      </c>
      <c r="K12" s="8">
        <f>SUMIF(Einnahmen[Arbeitskreis],Tabelle7[[#This Row],[Arbeitskreis]],Einnahmen[Umfang])</f>
        <v>0</v>
      </c>
      <c r="L12" s="9">
        <f>IFERROR(Tabelle7[[#This Row],[Einnahmen]]/SUM(Tabelle7[Einnahmen]),0)</f>
        <v>0</v>
      </c>
      <c r="M12" s="2">
        <f>Tabelle7[[#This Row],[Ausgaben]]+Tabelle7[[#This Row],[Einnahmen]]</f>
        <v>-14580</v>
      </c>
    </row>
    <row r="13">
      <c r="A13" t="str">
        <f>Reference!C6</f>
        <v>Personalkosten</v>
      </c>
      <c r="B13" s="8">
        <f>SUMIF(Finanzplan[Kategorie],AusgabenKategorien[[#This Row],[Kategorie]],Finanzplan[Umfang nach StuPa])</f>
        <v>-11650</v>
      </c>
      <c r="C13" s="8">
        <f>SUMIF(Finanzplan[Kategorie],AusgabenKategorien[[#This Row],[Kategorie]],Finanzplan[Umfang aktuelle Kalkulation])</f>
        <v>-7200</v>
      </c>
      <c r="D13" s="2">
        <f>AusgabenKategorien[[#This Row],[Aktuell]]-AusgabenKategorien[[#This Row],[Beschluss StuPa]]</f>
        <v>4450</v>
      </c>
      <c r="G13" t="str">
        <f>Reference!A6</f>
        <v>Deko</v>
      </c>
      <c r="H13">
        <f>COUNTIF(Ausgaben[Arbeitskreis '[Auswahl']],Tabelle7[[#This Row],[Arbeitskreis]])</f>
        <v>4</v>
      </c>
      <c r="I13" s="8">
        <f>SUMIF(Ausgaben[Arbeitskreis '[Auswahl']],Tabelle7[[#This Row],[Arbeitskreis]],Ausgaben[Umfang '[€']])</f>
        <v>-159.87</v>
      </c>
      <c r="J13" s="9">
        <f>IFERROR(Tabelle7[[#This Row],[Ausgaben]]/SUM(Tabelle7[Ausgaben]),0)</f>
        <v>0.0039337916318284028</v>
      </c>
      <c r="K13" s="8">
        <f>SUMIF(Einnahmen[Arbeitskreis],Tabelle7[[#This Row],[Arbeitskreis]],Einnahmen[Umfang])</f>
        <v>0</v>
      </c>
      <c r="L13" s="9">
        <f>IFERROR(Tabelle7[[#This Row],[Einnahmen]]/SUM(Tabelle7[Einnahmen]),0)</f>
        <v>0</v>
      </c>
      <c r="M13" s="2">
        <f>Tabelle7[[#This Row],[Ausgaben]]+Tabelle7[[#This Row],[Einnahmen]]</f>
        <v>-159.87</v>
      </c>
    </row>
    <row r="14">
      <c r="A14" t="str">
        <f>Reference!C7</f>
        <v xml:space="preserve">Repr- &amp; Bewirtung</v>
      </c>
      <c r="B14" s="8">
        <f>SUMIF(Finanzplan[Kategorie],AusgabenKategorien[[#This Row],[Kategorie]],Finanzplan[Umfang nach StuPa])</f>
        <v>-10000</v>
      </c>
      <c r="C14" s="8">
        <f>SUMIF(Finanzplan[Kategorie],AusgabenKategorien[[#This Row],[Kategorie]],Finanzplan[Umfang aktuelle Kalkulation])</f>
        <v>-467.46000000000004</v>
      </c>
      <c r="D14" s="2">
        <f>AusgabenKategorien[[#This Row],[Aktuell]]-AusgabenKategorien[[#This Row],[Beschluss StuPa]]</f>
        <v>9532.5400000000009</v>
      </c>
      <c r="G14" t="str">
        <f>Reference!A7</f>
        <v>Awareness</v>
      </c>
      <c r="H14">
        <f>COUNTIF(Ausgaben[Arbeitskreis '[Auswahl']],Tabelle7[[#This Row],[Arbeitskreis]])</f>
        <v>0</v>
      </c>
      <c r="I14" s="8">
        <f>SUMIF(Ausgaben[Arbeitskreis '[Auswahl']],Tabelle7[[#This Row],[Arbeitskreis]],Ausgaben[Umfang '[€']])</f>
        <v>0</v>
      </c>
      <c r="J14" s="9">
        <f>IFERROR(Tabelle7[[#This Row],[Ausgaben]]/SUM(Tabelle7[Ausgaben]),0)</f>
        <v>0</v>
      </c>
      <c r="K14" s="8">
        <f>SUMIF(Einnahmen[Arbeitskreis],Tabelle7[[#This Row],[Arbeitskreis]],Einnahmen[Umfang])</f>
        <v>0</v>
      </c>
      <c r="L14" s="9">
        <f>IFERROR(Tabelle7[[#This Row],[Einnahmen]]/SUM(Tabelle7[Einnahmen]),0)</f>
        <v>0</v>
      </c>
      <c r="M14" s="2">
        <f>Tabelle7[[#This Row],[Ausgaben]]+Tabelle7[[#This Row],[Einnahmen]]</f>
        <v>0</v>
      </c>
    </row>
    <row r="15">
      <c r="A15" t="str">
        <f>Reference!C8</f>
        <v xml:space="preserve">Druck- und Werbung</v>
      </c>
      <c r="B15" s="8">
        <f>SUMIF(Finanzplan[Kategorie],AusgabenKategorien[[#This Row],[Kategorie]],Finanzplan[Umfang nach StuPa])</f>
        <v>-5000</v>
      </c>
      <c r="C15" s="8">
        <f>SUMIF(Finanzplan[Kategorie],AusgabenKategorien[[#This Row],[Kategorie]],Finanzplan[Umfang aktuelle Kalkulation])</f>
        <v>-4298.29</v>
      </c>
      <c r="D15" s="2">
        <f>AusgabenKategorien[[#This Row],[Aktuell]]-AusgabenKategorien[[#This Row],[Beschluss StuPa]]</f>
        <v>701.71000000000004</v>
      </c>
      <c r="G15" t="str">
        <f>Reference!A8</f>
        <v xml:space="preserve">Bühne + Technik</v>
      </c>
      <c r="H15">
        <f>COUNTIF(Ausgaben[Arbeitskreis '[Auswahl']],Tabelle7[[#This Row],[Arbeitskreis]])</f>
        <v>4</v>
      </c>
      <c r="I15" s="8">
        <f>SUMIF(Ausgaben[Arbeitskreis '[Auswahl']],Tabelle7[[#This Row],[Arbeitskreis]],Ausgaben[Umfang '[€']])</f>
        <v>-15982.469999999999</v>
      </c>
      <c r="J15" s="9">
        <f>IFERROR(Tabelle7[[#This Row],[Ausgaben]]/SUM(Tabelle7[Ausgaben]),0)</f>
        <v>0.39326769714110515</v>
      </c>
      <c r="K15" s="8">
        <f>SUMIF(Einnahmen[Arbeitskreis],Tabelle7[[#This Row],[Arbeitskreis]],Einnahmen[Umfang])</f>
        <v>0</v>
      </c>
      <c r="L15" s="9">
        <f>IFERROR(Tabelle7[[#This Row],[Einnahmen]]/SUM(Tabelle7[Einnahmen]),0)</f>
        <v>0</v>
      </c>
      <c r="M15" s="2">
        <f>Tabelle7[[#This Row],[Ausgaben]]+Tabelle7[[#This Row],[Einnahmen]]</f>
        <v>-15982.469999999999</v>
      </c>
    </row>
    <row r="16">
      <c r="A16" t="str">
        <f>Reference!C9</f>
        <v>Sonstiges</v>
      </c>
      <c r="B16" s="8">
        <f>SUMIF(Finanzplan[Kategorie],AusgabenKategorien[[#This Row],[Kategorie]],Finanzplan[Umfang nach StuPa])</f>
        <v>-7800</v>
      </c>
      <c r="C16" s="8">
        <f>SUMIF(Finanzplan[Kategorie],AusgabenKategorien[[#This Row],[Kategorie]],Finanzplan[Umfang aktuelle Kalkulation])</f>
        <v>-5709.8500000000004</v>
      </c>
      <c r="D16" s="2">
        <f>AusgabenKategorien[[#This Row],[Aktuell]]-AusgabenKategorien[[#This Row],[Beschluss StuPa]]</f>
        <v>2090.1499999999996</v>
      </c>
      <c r="G16" t="str">
        <f>Reference!A9</f>
        <v xml:space="preserve">IT + Website</v>
      </c>
      <c r="H16">
        <f>COUNTIF(Ausgaben[Arbeitskreis '[Auswahl']],Tabelle7[[#This Row],[Arbeitskreis]])</f>
        <v>0</v>
      </c>
      <c r="I16" s="8">
        <f>SUMIF(Ausgaben[Arbeitskreis '[Auswahl']],Tabelle7[[#This Row],[Arbeitskreis]],Ausgaben[Umfang '[€']])</f>
        <v>0</v>
      </c>
      <c r="J16" s="9">
        <f>IFERROR(Tabelle7[[#This Row],[Ausgaben]]/SUM(Tabelle7[Ausgaben]),0)</f>
        <v>0</v>
      </c>
      <c r="K16" s="8">
        <f>SUMIF(Einnahmen[Arbeitskreis],Tabelle7[[#This Row],[Arbeitskreis]],Einnahmen[Umfang])</f>
        <v>0</v>
      </c>
      <c r="L16" s="9">
        <f>IFERROR(Tabelle7[[#This Row],[Einnahmen]]/SUM(Tabelle7[Einnahmen]),0)</f>
        <v>0</v>
      </c>
      <c r="M16" s="2">
        <f>Tabelle7[[#This Row],[Ausgaben]]+Tabelle7[[#This Row],[Einnahmen]]</f>
        <v>0</v>
      </c>
    </row>
    <row r="17">
      <c r="A17" t="str">
        <f>Reference!C10</f>
        <v>Einnahmen</v>
      </c>
      <c r="B17" s="8">
        <f>SUMIF(Finanzplan[Kategorie],AusgabenKategorien[[#This Row],[Kategorie]],Finanzplan[Umfang nach StuPa])</f>
        <v>28000</v>
      </c>
      <c r="C17" s="8">
        <f>SUMIF(Finanzplan[Kategorie],AusgabenKategorien[[#This Row],[Kategorie]],Finanzplan[Umfang aktuelle Kalkulation])</f>
        <v>8430</v>
      </c>
      <c r="D17" s="2">
        <f>AusgabenKategorien[[#This Row],[Aktuell]]-AusgabenKategorien[[#This Row],[Beschluss StuPa]]</f>
        <v>-19570</v>
      </c>
      <c r="G17" t="str">
        <f>Reference!A10</f>
        <v>FnB</v>
      </c>
      <c r="H17">
        <f>COUNTIF(Ausgaben[Arbeitskreis '[Auswahl']],Tabelle7[[#This Row],[Arbeitskreis]])</f>
        <v>3</v>
      </c>
      <c r="I17" s="8">
        <f>SUMIF(Ausgaben[Arbeitskreis '[Auswahl']],Tabelle7[[#This Row],[Arbeitskreis]],Ausgaben[Umfang '[€']])</f>
        <v>-17.460000000000001</v>
      </c>
      <c r="J17" s="9">
        <f>IFERROR(Tabelle7[[#This Row],[Ausgaben]]/SUM(Tabelle7[Ausgaben]),0)</f>
        <v>0.00042962408138940333</v>
      </c>
      <c r="K17" s="8">
        <f>SUMIF(Einnahmen[Arbeitskreis],Tabelle7[[#This Row],[Arbeitskreis]],Einnahmen[Umfang])</f>
        <v>0</v>
      </c>
      <c r="L17" s="9">
        <f>IFERROR(Tabelle7[[#This Row],[Einnahmen]]/SUM(Tabelle7[Einnahmen]),0)</f>
        <v>0</v>
      </c>
      <c r="M17" s="2">
        <f>Tabelle7[[#This Row],[Ausgaben]]+Tabelle7[[#This Row],[Einnahmen]]</f>
        <v>-17.460000000000001</v>
      </c>
    </row>
    <row r="18">
      <c r="A18">
        <f>Reference!C11</f>
        <v>0</v>
      </c>
      <c r="B18" s="8">
        <f>SUMIF(Finanzplan[Kategorie],AusgabenKategorien[[#This Row],[Kategorie]],Finanzplan[Umfang nach StuPa])</f>
        <v>0</v>
      </c>
      <c r="C18" s="8">
        <f>SUMIF(Finanzplan[Kategorie],AusgabenKategorien[[#This Row],[Kategorie]],Finanzplan[Umfang aktuelle Kalkulation])</f>
        <v>0</v>
      </c>
      <c r="D18" s="2">
        <f>AusgabenKategorien[[#This Row],[Aktuell]]-AusgabenKategorien[[#This Row],[Beschluss StuPa]]</f>
        <v>0</v>
      </c>
      <c r="G18" t="str">
        <f>Reference!A11</f>
        <v>Team-Orga</v>
      </c>
      <c r="H18">
        <f>COUNTIF(Ausgaben[Arbeitskreis '[Auswahl']],Tabelle7[[#This Row],[Arbeitskreis]])</f>
        <v>3</v>
      </c>
      <c r="I18" s="8">
        <f>SUMIF(Ausgaben[Arbeitskreis '[Auswahl']],Tabelle7[[#This Row],[Arbeitskreis]],Ausgaben[Umfang '[€']])</f>
        <v>-40.149999999999999</v>
      </c>
      <c r="J18" s="9">
        <f>IFERROR(Tabelle7[[#This Row],[Ausgaben]]/SUM(Tabelle7[Ausgaben]),0)</f>
        <v>0.00098793853767379963</v>
      </c>
      <c r="K18" s="8">
        <f>SUMIF(Einnahmen[Arbeitskreis],Tabelle7[[#This Row],[Arbeitskreis]],Einnahmen[Umfang])</f>
        <v>0</v>
      </c>
      <c r="L18" s="9">
        <f>IFERROR(Tabelle7[[#This Row],[Einnahmen]]/SUM(Tabelle7[Einnahmen]),0)</f>
        <v>0</v>
      </c>
      <c r="M18" s="2">
        <f>Tabelle7[[#This Row],[Ausgaben]]+Tabelle7[[#This Row],[Einnahmen]]</f>
        <v>-40.149999999999999</v>
      </c>
    </row>
    <row r="19">
      <c r="A19">
        <f>Reference!C12</f>
        <v>0</v>
      </c>
      <c r="B19" s="8">
        <f>SUMIF(Finanzplan[Kategorie],AusgabenKategorien[[#This Row],[Kategorie]],Finanzplan[Umfang nach StuPa])</f>
        <v>0</v>
      </c>
      <c r="C19" s="8">
        <f>SUMIF(Finanzplan[Kategorie],AusgabenKategorien[[#This Row],[Kategorie]],Finanzplan[Umfang aktuelle Kalkulation])</f>
        <v>0</v>
      </c>
      <c r="D19" s="2">
        <f>AusgabenKategorien[[#This Row],[Aktuell]]-AusgabenKategorien[[#This Row],[Beschluss StuPa]]</f>
        <v>0</v>
      </c>
      <c r="G19" t="str">
        <f>Reference!A12</f>
        <v>Projektleitung</v>
      </c>
      <c r="H19">
        <f>COUNTIF(Ausgaben[Arbeitskreis '[Auswahl']],Tabelle7[[#This Row],[Arbeitskreis]])</f>
        <v>5</v>
      </c>
      <c r="I19" s="8">
        <f>SUMIF(Ausgaben[Arbeitskreis '[Auswahl']],Tabelle7[[#This Row],[Arbeitskreis]],Ausgaben[Umfang '[€']])</f>
        <v>-910.76999999999998</v>
      </c>
      <c r="J19" s="9">
        <f>IFERROR(Tabelle7[[#This Row],[Ausgaben]]/SUM(Tabelle7[Ausgaben]),0)</f>
        <v>0.022410579874400163</v>
      </c>
      <c r="K19" s="8">
        <f>SUMIF(Einnahmen[Arbeitskreis],Tabelle7[[#This Row],[Arbeitskreis]],Einnahmen[Umfang])</f>
        <v>7430</v>
      </c>
      <c r="L19" s="9">
        <f>IFERROR(Tabelle7[[#This Row],[Einnahmen]]/SUM(Tabelle7[Einnahmen]),0)</f>
        <v>1</v>
      </c>
      <c r="M19" s="2">
        <f>Tabelle7[[#This Row],[Ausgaben]]+Tabelle7[[#This Row],[Einnahmen]]</f>
        <v>6519.2299999999996</v>
      </c>
    </row>
    <row r="20">
      <c r="A20">
        <f>Reference!C13</f>
        <v>0</v>
      </c>
      <c r="B20" s="8">
        <f>SUMIF(Finanzplan[Kategorie],AusgabenKategorien[[#This Row],[Kategorie]],Finanzplan[Umfang nach StuPa])</f>
        <v>0</v>
      </c>
      <c r="C20" s="8">
        <f>SUMIF(Finanzplan[Kategorie],AusgabenKategorien[[#This Row],[Kategorie]],Finanzplan[Umfang aktuelle Kalkulation])</f>
        <v>0</v>
      </c>
      <c r="D20" s="2">
        <f>AusgabenKategorien[[#This Row],[Aktuell]]-AusgabenKategorien[[#This Row],[Beschluss StuPa]]</f>
        <v>0</v>
      </c>
      <c r="G20" t="str">
        <f>Reference!A13</f>
        <v>Infrastruktur</v>
      </c>
      <c r="H20">
        <f>COUNTIF(Ausgaben[Arbeitskreis '[Auswahl']],Tabelle7[[#This Row],[Arbeitskreis]])</f>
        <v>11</v>
      </c>
      <c r="I20" s="8">
        <f>SUMIF(Ausgaben[Arbeitskreis '[Auswahl']],Tabelle7[[#This Row],[Arbeitskreis]],Ausgaben[Umfang '[€']])</f>
        <v>-5372.3399999999992</v>
      </c>
      <c r="J20" s="9">
        <f>IFERROR(Tabelle7[[#This Row],[Ausgaben]]/SUM(Tabelle7[Ausgaben]),0)</f>
        <v>0.13219282001211607</v>
      </c>
      <c r="K20" s="8">
        <f>SUMIF(Einnahmen[Arbeitskreis],Tabelle7[[#This Row],[Arbeitskreis]],Einnahmen[Umfang])</f>
        <v>0</v>
      </c>
      <c r="L20" s="9">
        <f>IFERROR(Tabelle7[[#This Row],[Einnahmen]]/SUM(Tabelle7[Einnahmen]),0)</f>
        <v>0</v>
      </c>
      <c r="M20" s="2">
        <f>Tabelle7[[#This Row],[Ausgaben]]+Tabelle7[[#This Row],[Einnahmen]]</f>
        <v>-5372.3399999999992</v>
      </c>
    </row>
    <row r="21">
      <c r="A21">
        <f>Reference!C14</f>
        <v>0</v>
      </c>
      <c r="D21" s="2"/>
      <c r="G21" t="str">
        <f>Reference!A14</f>
        <v>Dokumentation</v>
      </c>
      <c r="H21">
        <f>COUNTIF(Ausgaben[Arbeitskreis '[Auswahl']],Tabelle7[[#This Row],[Arbeitskreis]])</f>
        <v>0</v>
      </c>
      <c r="I21" s="8">
        <f>SUMIF(Ausgaben[Arbeitskreis '[Auswahl']],Tabelle7[[#This Row],[Arbeitskreis]],Ausgaben[Umfang '[€']])</f>
        <v>0</v>
      </c>
      <c r="J21" s="9">
        <f>IFERROR(Tabelle7[[#This Row],[Ausgaben]]/SUM(Tabelle7[Ausgaben]),0)</f>
        <v>0</v>
      </c>
      <c r="K21" s="8">
        <f>SUMIF(Einnahmen[Arbeitskreis],Tabelle7[[#This Row],[Arbeitskreis]],Einnahmen[Umfang])</f>
        <v>0</v>
      </c>
      <c r="L21" s="9">
        <f>IFERROR(Tabelle7[[#This Row],[Einnahmen]]/SUM(Tabelle7[Einnahmen]),0)</f>
        <v>0</v>
      </c>
      <c r="M21" s="2">
        <f>Tabelle7[[#This Row],[Ausgaben]]+Tabelle7[[#This Row],[Einnahmen]]</f>
        <v>0</v>
      </c>
    </row>
    <row r="22">
      <c r="A22">
        <f>Reference!C15</f>
        <v>0</v>
      </c>
      <c r="D22" s="2"/>
      <c r="G22" t="str">
        <f>Reference!A15</f>
        <v>Workshops</v>
      </c>
      <c r="H22">
        <f>COUNTIF(Ausgaben[Arbeitskreis '[Auswahl']],Tabelle7[[#This Row],[Arbeitskreis]])</f>
        <v>5</v>
      </c>
      <c r="I22" s="8">
        <f>SUMIF(Ausgaben[Arbeitskreis '[Auswahl']],Tabelle7[[#This Row],[Arbeitskreis]],Ausgaben[Umfang '[€']])</f>
        <v>-1534.5999999999999</v>
      </c>
      <c r="J22" s="9">
        <f>IFERROR(Tabelle7[[#This Row],[Ausgaben]]/SUM(Tabelle7[Ausgaben]),0)</f>
        <v>0.037760659524637932</v>
      </c>
      <c r="K22" s="8">
        <f>SUMIF(Einnahmen[Arbeitskreis],Tabelle7[[#This Row],[Arbeitskreis]],Einnahmen[Umfang])</f>
        <v>0</v>
      </c>
      <c r="L22" s="9">
        <f>IFERROR(Tabelle7[[#This Row],[Einnahmen]]/SUM(Tabelle7[Einnahmen]),0)</f>
        <v>0</v>
      </c>
      <c r="M22" s="2">
        <f>Tabelle7[[#This Row],[Ausgaben]]+Tabelle7[[#This Row],[Einnahmen]]</f>
        <v>-1534.5999999999999</v>
      </c>
    </row>
    <row r="23">
      <c r="A23">
        <f>Reference!C16</f>
        <v>0</v>
      </c>
      <c r="D23" s="2"/>
      <c r="G23" t="str">
        <f>Reference!A16</f>
        <v>Öffentlichkeitsarbeit</v>
      </c>
      <c r="H23">
        <f>COUNTIF(Ausgaben[Arbeitskreis '[Auswahl']],Tabelle7[[#This Row],[Arbeitskreis]])</f>
        <v>10</v>
      </c>
      <c r="I23" s="8">
        <f>SUMIF(Ausgaben[Arbeitskreis '[Auswahl']],Tabelle7[[#This Row],[Arbeitskreis]],Ausgaben[Umfang '[€']])</f>
        <v>-2013.2899999999997</v>
      </c>
      <c r="J23" s="9">
        <f>IFERROR(Tabelle7[[#This Row],[Ausgaben]]/SUM(Tabelle7[Ausgaben]),0)</f>
        <v>0.049539396725112921</v>
      </c>
      <c r="K23" s="8">
        <f>SUMIF(Einnahmen[Arbeitskreis],Tabelle7[[#This Row],[Arbeitskreis]],Einnahmen[Umfang])</f>
        <v>0</v>
      </c>
      <c r="L23" s="9">
        <f>IFERROR(Tabelle7[[#This Row],[Einnahmen]]/SUM(Tabelle7[Einnahmen]),0)</f>
        <v>0</v>
      </c>
      <c r="M23" s="2">
        <f>Tabelle7[[#This Row],[Ausgaben]]+Tabelle7[[#This Row],[Einnahmen]]</f>
        <v>-2013.2899999999997</v>
      </c>
    </row>
    <row r="24">
      <c r="A24">
        <f>Reference!C17</f>
        <v>0</v>
      </c>
      <c r="D24" s="2"/>
      <c r="G24" t="str">
        <f>Reference!A17</f>
        <v>Crew</v>
      </c>
      <c r="H24">
        <f>COUNTIF(Ausgaben[Arbeitskreis '[Auswahl']],Tabelle7[[#This Row],[Arbeitskreis]])</f>
        <v>2</v>
      </c>
      <c r="I24" s="8">
        <f>SUMIF(Ausgaben[Arbeitskreis '[Auswahl']],Tabelle7[[#This Row],[Arbeitskreis]],Ausgaben[Umfang '[€']])</f>
        <v>-29.23</v>
      </c>
      <c r="J24" s="9">
        <f>IFERROR(Tabelle7[[#This Row],[Ausgaben]]/SUM(Tabelle7[Ausgaben]),0)</f>
        <v>0.0007192389403787089</v>
      </c>
      <c r="K24" s="8">
        <f>SUMIF(Einnahmen[Arbeitskreis],Tabelle7[[#This Row],[Arbeitskreis]],Einnahmen[Umfang])</f>
        <v>0</v>
      </c>
      <c r="L24" s="9">
        <f>IFERROR(Tabelle7[[#This Row],[Einnahmen]]/SUM(Tabelle7[Einnahmen]),0)</f>
        <v>0</v>
      </c>
      <c r="M24" s="2">
        <f>Tabelle7[[#This Row],[Ausgaben]]+Tabelle7[[#This Row],[Einnahmen]]</f>
        <v>-29.23</v>
      </c>
    </row>
    <row r="28" ht="17.25">
      <c r="A28" s="5"/>
      <c r="B28" s="5"/>
      <c r="C28" s="5"/>
      <c r="D28" s="5"/>
    </row>
    <row r="29"/>
    <row r="30"/>
    <row r="32" ht="17.25">
      <c r="A32" s="5"/>
      <c r="B32" s="5"/>
      <c r="C32" s="5"/>
      <c r="D32" s="5"/>
    </row>
    <row r="33"/>
  </sheetData>
  <printOptions headings="0" gridLines="0"/>
  <pageMargins left="0.69999999999999996" right="0.69999999999999996" top="0.78740157500000008" bottom="0.78740157500000008" header="0.29999999999999999" footer="0.29999999999999999"/>
  <pageSetup paperSize="9" scale="67" fitToWidth="1" fitToHeight="1" pageOrder="downThenOver" orientation="landscape" usePrinterDefaults="1" blackAndWhite="0" draft="0" cellComments="none" useFirstPageNumber="0" errors="displayed" horizontalDpi="600" verticalDpi="600" copies="1"/>
  <headerFooter/>
  <tableParts count="2">
    <tablePart r:id="rId1"/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priority="3" id="{00B900BB-00A4-40DE-8991-001F004900A4}">
            <x14:dataBar maxLength="100" minLength="0" border="1" axisPosition="automatic" direction="context" negativeBarBorderColorSameAsPositive="0">
              <x14:cfvo type="autoMin"/>
              <x14:cfvo type="autoMax"/>
              <x14:fillColor rgb="FFFFB628"/>
              <x14:borderColor rgb="FFFFB628"/>
              <x14:negativeFillColor indexed="2"/>
              <x14:negativeBorderColor indexed="2"/>
              <x14:axisColor indexed="64"/>
            </x14:dataBar>
          </x14:cfRule>
          <xm:sqref>H12:H24</xm:sqref>
        </x14:conditionalFormatting>
        <x14:conditionalFormatting xmlns:xm="http://schemas.microsoft.com/office/excel/2006/main">
          <x14:cfRule type="dataBar" priority="2" id="{001D0024-00AE-4371-8DEF-00450042002B}">
            <x14:dataBar maxLength="100" minLength="0" border="1" axisPosition="automatic" direction="context" negativeBarBorderColorSameAsPositive="0">
              <x14:cfvo type="autoMin"/>
              <x14:cfvo type="autoMax"/>
              <x14:fillColor rgb="FFFF555A"/>
              <x14:borderColor rgb="FFFF555A"/>
              <x14:negativeFillColor indexed="2"/>
              <x14:negativeBorderColor indexed="2"/>
              <x14:axisColor indexed="64"/>
            </x14:dataBar>
          </x14:cfRule>
          <xm:sqref>J12:J24</xm:sqref>
        </x14:conditionalFormatting>
        <x14:conditionalFormatting xmlns:xm="http://schemas.microsoft.com/office/excel/2006/main">
          <x14:cfRule type="dataBar" priority="1" id="{00800084-0099-480B-A188-003B00D400B5}">
            <x14:dataBar maxLength="100" minLength="0" border="1" axisPosition="automatic" direction="context" negativeBarBorderColorSameAsPositive="0">
              <x14:cfvo type="autoMin"/>
              <x14:cfvo type="autoMax"/>
              <x14:fillColor rgb="FF63C384"/>
              <x14:borderColor rgb="FF63C384"/>
              <x14:negativeFillColor indexed="2"/>
              <x14:negativeBorderColor indexed="2"/>
              <x14:axisColor indexed="64"/>
            </x14:dataBar>
          </x14:cfRule>
          <xm:sqref>L12:L24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selection activeCell="E40" activeCellId="0" sqref="E40"/>
    </sheetView>
  </sheetViews>
  <sheetFormatPr baseColWidth="10" defaultColWidth="8.88671875" defaultRowHeight="14.25"/>
  <cols>
    <col customWidth="1" min="1" max="1" width="29.109375"/>
    <col customWidth="1" min="2" max="2" width="17"/>
    <col customWidth="1" min="3" max="3" width="21"/>
    <col customWidth="1" min="4" max="8" width="18.77734375"/>
    <col customWidth="1" min="9" max="9" width="12.33203125"/>
    <col customWidth="1" min="10" max="10" width="28.77734375"/>
    <col customWidth="1" min="11" max="11" width="18.77734375"/>
    <col customWidth="1" min="12" max="12" width="10.7109375"/>
    <col customWidth="1" min="13" max="13" width="11"/>
    <col customWidth="1" min="17" max="17" width="12.5546875"/>
    <col customWidth="1" min="18" max="18" width="12.88671875"/>
    <col customWidth="1" min="19" max="19" width="14.21875"/>
    <col customWidth="1" min="20" max="20" width="14.6640625"/>
  </cols>
  <sheetData>
    <row r="1" ht="20.25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>
      <c r="A2" s="10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4" s="12" customFormat="1" ht="58.799999999999997" customHeight="1">
      <c r="A4" s="12" t="s">
        <v>18</v>
      </c>
      <c r="B4" s="12" t="s">
        <v>19</v>
      </c>
      <c r="C4" s="12" t="s">
        <v>7</v>
      </c>
      <c r="D4" s="12" t="s">
        <v>20</v>
      </c>
      <c r="E4" s="12" t="s">
        <v>21</v>
      </c>
      <c r="F4" s="12" t="s">
        <v>22</v>
      </c>
      <c r="G4" s="13" t="s">
        <v>23</v>
      </c>
      <c r="H4" s="13" t="s">
        <v>24</v>
      </c>
      <c r="I4" s="12" t="s">
        <v>25</v>
      </c>
      <c r="J4" s="12" t="s">
        <v>26</v>
      </c>
      <c r="K4" s="12" t="s">
        <v>27</v>
      </c>
    </row>
    <row r="5">
      <c r="A5" t="s">
        <v>28</v>
      </c>
      <c r="B5" t="s">
        <v>29</v>
      </c>
      <c r="C5" t="s">
        <v>30</v>
      </c>
      <c r="D5" s="8">
        <v>0</v>
      </c>
      <c r="E5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5" s="8">
        <f>Finanzplan[[#This Row],[Umfang aktuelle Kalkulation]]-Finanzplan[[#This Row],[Umfang nach StuPa]]</f>
        <v>0</v>
      </c>
      <c r="G5" s="8">
        <v>0</v>
      </c>
      <c r="H5" s="8">
        <f>Finanzplan[[#This Row],[Empfehlung Änderung]]-Finanzplan[[#This Row],[Umfang nach StuPa]]</f>
        <v>0</v>
      </c>
      <c r="I5" s="8">
        <v>0</v>
      </c>
      <c r="J5" s="9">
        <f>IFERROR(Finanzplan[[#This Row],[Umfang aktuelle Kalkulation]]/Finanzplan[[#This Row],[Umfang nach StuPa]],1)</f>
        <v>1</v>
      </c>
      <c r="K5" s="14">
        <f>COUNTIF(Ausgaben[Kostenstelle '[Auswahl']],Finanzplan[[#This Row],[Abkürzung Kostenstelle]])+COUNTIF(Einnahmen[Kostenstelle],Finanzplan[[#This Row],[Abkürzung Kostenstelle]])</f>
        <v>0</v>
      </c>
    </row>
    <row r="6">
      <c r="A6" t="s">
        <v>31</v>
      </c>
      <c r="B6" t="s">
        <v>32</v>
      </c>
      <c r="C6" t="s">
        <v>30</v>
      </c>
      <c r="D6" s="15">
        <v>-16300</v>
      </c>
      <c r="E6" s="16">
        <f>SUMIF(Ausgaben[Kostenstelle '[Auswahl']],Finanzplan[[#This Row],[Abkürzung Kostenstelle]],Ausgaben[Umfang '[€']])+SUMIF(Einnahmen[Kostenstelle],Finanzplan[[#This Row],[Abkürzung Kostenstelle]],Einnahmen[Umfang])</f>
        <v>-15880</v>
      </c>
      <c r="F6" s="8">
        <f>Finanzplan[[#This Row],[Umfang aktuelle Kalkulation]]-Finanzplan[[#This Row],[Umfang nach StuPa]]</f>
        <v>420</v>
      </c>
      <c r="G6" s="8">
        <v>-16300</v>
      </c>
      <c r="H6" s="8">
        <f>Finanzplan[[#This Row],[Empfehlung Änderung]]-Finanzplan[[#This Row],[Umfang nach StuPa]]</f>
        <v>0</v>
      </c>
      <c r="I6" s="16">
        <v>-14589.35</v>
      </c>
      <c r="J6" s="9">
        <f>IFERROR(Finanzplan[[#This Row],[Umfang aktuelle Kalkulation]]/Finanzplan[[#This Row],[Umfang nach StuPa]],1)</f>
        <v>0.97423312883435587</v>
      </c>
      <c r="K6" s="14">
        <f>COUNTIF(Ausgaben[Kostenstelle '[Auswahl']],Finanzplan[[#This Row],[Abkürzung Kostenstelle]])+COUNTIF(Einnahmen[Kostenstelle],Finanzplan[[#This Row],[Abkürzung Kostenstelle]])</f>
        <v>17</v>
      </c>
    </row>
    <row r="7">
      <c r="A7" t="s">
        <v>33</v>
      </c>
      <c r="B7" t="s">
        <v>34</v>
      </c>
      <c r="C7" t="s">
        <v>30</v>
      </c>
      <c r="D7" s="15">
        <v>-550</v>
      </c>
      <c r="E7" s="16">
        <f>SUMIF(Ausgaben[Kostenstelle '[Auswahl']],Finanzplan[[#This Row],[Abkürzung Kostenstelle]],Ausgaben[Umfang '[€']])+SUMIF(Einnahmen[Kostenstelle],Finanzplan[[#This Row],[Abkürzung Kostenstelle]],Einnahmen[Umfang])</f>
        <v>0</v>
      </c>
      <c r="F7" s="8">
        <f>Finanzplan[[#This Row],[Umfang aktuelle Kalkulation]]-Finanzplan[[#This Row],[Umfang nach StuPa]]</f>
        <v>550</v>
      </c>
      <c r="G7" s="8">
        <v>-550</v>
      </c>
      <c r="H7" s="8">
        <f>Finanzplan[[#This Row],[Empfehlung Änderung]]-Finanzplan[[#This Row],[Umfang nach StuPa]]</f>
        <v>0</v>
      </c>
      <c r="I7" s="16">
        <v>0</v>
      </c>
      <c r="J7" s="9">
        <f>IFERROR(Finanzplan[[#This Row],[Umfang aktuelle Kalkulation]]/Finanzplan[[#This Row],[Umfang nach StuPa]],1)</f>
        <v>0</v>
      </c>
      <c r="K7" s="14">
        <f>COUNTIF(Ausgaben[Kostenstelle '[Auswahl']],Finanzplan[[#This Row],[Abkürzung Kostenstelle]])+COUNTIF(Einnahmen[Kostenstelle],Finanzplan[[#This Row],[Abkürzung Kostenstelle]])</f>
        <v>0</v>
      </c>
    </row>
    <row r="8">
      <c r="A8" t="s">
        <v>35</v>
      </c>
      <c r="B8" t="s">
        <v>36</v>
      </c>
      <c r="C8" t="s">
        <v>30</v>
      </c>
      <c r="D8" s="15">
        <v>-300</v>
      </c>
      <c r="E8" s="16">
        <f>SUMIF(Ausgaben[Kostenstelle '[Auswahl']],Finanzplan[[#This Row],[Abkürzung Kostenstelle]],Ausgaben[Umfang '[€']])+SUMIF(Einnahmen[Kostenstelle],Finanzplan[[#This Row],[Abkürzung Kostenstelle]],Einnahmen[Umfang])</f>
        <v>-289.17000000000002</v>
      </c>
      <c r="F8" s="8">
        <f>Finanzplan[[#This Row],[Umfang aktuelle Kalkulation]]-Finanzplan[[#This Row],[Umfang nach StuPa]]</f>
        <v>10.829999999999984</v>
      </c>
      <c r="G8" s="8">
        <v>-300</v>
      </c>
      <c r="H8" s="8">
        <f>Finanzplan[[#This Row],[Empfehlung Änderung]]-Finanzplan[[#This Row],[Umfang nach StuPa]]</f>
        <v>0</v>
      </c>
      <c r="I8" s="16">
        <v>-286.01999999999998</v>
      </c>
      <c r="J8" s="9">
        <f>IFERROR(Finanzplan[[#This Row],[Umfang aktuelle Kalkulation]]/Finanzplan[[#This Row],[Umfang nach StuPa]],1)</f>
        <v>0.96390000000000009</v>
      </c>
      <c r="K8" s="14">
        <f>COUNTIF(Ausgaben[Kostenstelle '[Auswahl']],Finanzplan[[#This Row],[Abkürzung Kostenstelle]])+COUNTIF(Einnahmen[Kostenstelle],Finanzplan[[#This Row],[Abkürzung Kostenstelle]])</f>
        <v>1</v>
      </c>
    </row>
    <row r="9">
      <c r="A9" t="s">
        <v>37</v>
      </c>
      <c r="B9" t="s">
        <v>38</v>
      </c>
      <c r="C9" t="s">
        <v>30</v>
      </c>
      <c r="D9" s="15">
        <v>-700</v>
      </c>
      <c r="E9" s="16">
        <f>SUMIF(Ausgaben[Kostenstelle '[Auswahl']],Finanzplan[[#This Row],[Abkürzung Kostenstelle]],Ausgaben[Umfang '[€']])+SUMIF(Einnahmen[Kostenstelle],Finanzplan[[#This Row],[Abkürzung Kostenstelle]],Einnahmen[Umfang])</f>
        <v>-579.55999999999995</v>
      </c>
      <c r="F9" s="8">
        <f>Finanzplan[[#This Row],[Umfang aktuelle Kalkulation]]-Finanzplan[[#This Row],[Umfang nach StuPa]]</f>
        <v>120.44000000000005</v>
      </c>
      <c r="G9" s="8">
        <v>-600</v>
      </c>
      <c r="H9" s="8">
        <f>Finanzplan[[#This Row],[Empfehlung Änderung]]-Finanzplan[[#This Row],[Umfang nach StuPa]]</f>
        <v>100</v>
      </c>
      <c r="I9" s="16">
        <v>-168.97</v>
      </c>
      <c r="J9" s="9">
        <f>IFERROR(Finanzplan[[#This Row],[Umfang aktuelle Kalkulation]]/Finanzplan[[#This Row],[Umfang nach StuPa]],1)</f>
        <v>0.82794285714285709</v>
      </c>
      <c r="K9" s="14">
        <f>COUNTIF(Ausgaben[Kostenstelle '[Auswahl']],Finanzplan[[#This Row],[Abkürzung Kostenstelle]])+COUNTIF(Einnahmen[Kostenstelle],Finanzplan[[#This Row],[Abkürzung Kostenstelle]])</f>
        <v>1</v>
      </c>
    </row>
    <row r="10">
      <c r="A10" t="s">
        <v>39</v>
      </c>
      <c r="B10" t="s">
        <v>40</v>
      </c>
      <c r="C10" t="s">
        <v>30</v>
      </c>
      <c r="D10" s="8">
        <v>-16000</v>
      </c>
      <c r="E10" s="16">
        <f>SUMIF(Ausgaben[Kostenstelle '[Auswahl']],Finanzplan[[#This Row],[Abkürzung Kostenstelle]],Ausgaben[Umfang '[€']])+SUMIF(Einnahmen[Kostenstelle],Finanzplan[[#This Row],[Abkürzung Kostenstelle]],Einnahmen[Umfang])</f>
        <v>-13179.99</v>
      </c>
      <c r="F10" s="8">
        <f>Finanzplan[[#This Row],[Umfang aktuelle Kalkulation]]-Finanzplan[[#This Row],[Umfang nach StuPa]]</f>
        <v>2820.0100000000002</v>
      </c>
      <c r="G10" s="8">
        <v>-15000</v>
      </c>
      <c r="H10" s="8">
        <f>Finanzplan[[#This Row],[Empfehlung Änderung]]-Finanzplan[[#This Row],[Umfang nach StuPa]]</f>
        <v>1000</v>
      </c>
      <c r="I10" s="16">
        <v>-14225.26</v>
      </c>
      <c r="J10" s="9">
        <f>IFERROR(Finanzplan[[#This Row],[Umfang aktuelle Kalkulation]]/Finanzplan[[#This Row],[Umfang nach StuPa]],1)</f>
        <v>0.82374937500000001</v>
      </c>
      <c r="K10" s="14">
        <f>COUNTIF(Ausgaben[Kostenstelle '[Auswahl']],Finanzplan[[#This Row],[Abkürzung Kostenstelle]])+COUNTIF(Einnahmen[Kostenstelle],Finanzplan[[#This Row],[Abkürzung Kostenstelle]])</f>
        <v>2</v>
      </c>
    </row>
    <row r="11">
      <c r="A11" t="s">
        <v>41</v>
      </c>
      <c r="B11" t="s">
        <v>42</v>
      </c>
      <c r="C11" t="s">
        <v>30</v>
      </c>
      <c r="D11" s="8">
        <v>-4300</v>
      </c>
      <c r="E11" s="16">
        <f>SUMIF(Ausgaben[Kostenstelle '[Auswahl']],Finanzplan[[#This Row],[Abkürzung Kostenstelle]],Ausgaben[Umfang '[€']])+SUMIF(Einnahmen[Kostenstelle],Finanzplan[[#This Row],[Abkürzung Kostenstelle]],Einnahmen[Umfang])</f>
        <v>-3852.48</v>
      </c>
      <c r="F11" s="8">
        <f>Finanzplan[[#This Row],[Umfang aktuelle Kalkulation]]-Finanzplan[[#This Row],[Umfang nach StuPa]]</f>
        <v>447.51999999999998</v>
      </c>
      <c r="G11" s="8">
        <v>-4300</v>
      </c>
      <c r="H11" s="8">
        <f>Finanzplan[[#This Row],[Empfehlung Änderung]]-Finanzplan[[#This Row],[Umfang nach StuPa]]</f>
        <v>0</v>
      </c>
      <c r="I11" s="16">
        <v>-3467.1999999999998</v>
      </c>
      <c r="J11" s="9">
        <f>IFERROR(Finanzplan[[#This Row],[Umfang aktuelle Kalkulation]]/Finanzplan[[#This Row],[Umfang nach StuPa]],1)</f>
        <v>0.89592558139534884</v>
      </c>
      <c r="K11" s="14">
        <f>COUNTIF(Ausgaben[Kostenstelle '[Auswahl']],Finanzplan[[#This Row],[Abkürzung Kostenstelle]])+COUNTIF(Einnahmen[Kostenstelle],Finanzplan[[#This Row],[Abkürzung Kostenstelle]])</f>
        <v>5</v>
      </c>
    </row>
    <row r="12">
      <c r="A12" t="s">
        <v>43</v>
      </c>
      <c r="B12" t="s">
        <v>44</v>
      </c>
      <c r="C12" t="s">
        <v>30</v>
      </c>
      <c r="D12" s="8">
        <v>-500</v>
      </c>
      <c r="E12" s="16">
        <f>SUMIF(Ausgaben[Kostenstelle '[Auswahl']],Finanzplan[[#This Row],[Abkürzung Kostenstelle]],Ausgaben[Umfang '[€']])+SUMIF(Einnahmen[Kostenstelle],Finanzplan[[#This Row],[Abkürzung Kostenstelle]],Einnahmen[Umfang])</f>
        <v>-510</v>
      </c>
      <c r="F12" s="8">
        <f>Finanzplan[[#This Row],[Umfang aktuelle Kalkulation]]-Finanzplan[[#This Row],[Umfang nach StuPa]]</f>
        <v>-10</v>
      </c>
      <c r="G12" s="8">
        <v>-550</v>
      </c>
      <c r="H12" s="8">
        <f>Finanzplan[[#This Row],[Empfehlung Änderung]]-Finanzplan[[#This Row],[Umfang nach StuPa]]</f>
        <v>-50</v>
      </c>
      <c r="I12" s="16">
        <v>-384.30000000000001</v>
      </c>
      <c r="J12" s="9">
        <f>IFERROR(Finanzplan[[#This Row],[Umfang aktuelle Kalkulation]]/Finanzplan[[#This Row],[Umfang nach StuPa]],1)</f>
        <v>1.02</v>
      </c>
      <c r="K12" s="14">
        <f>COUNTIF(Ausgaben[Kostenstelle '[Auswahl']],Finanzplan[[#This Row],[Abkürzung Kostenstelle]])+COUNTIF(Einnahmen[Kostenstelle],Finanzplan[[#This Row],[Abkürzung Kostenstelle]])</f>
        <v>2</v>
      </c>
    </row>
    <row r="13">
      <c r="A13" t="s">
        <v>45</v>
      </c>
      <c r="B13" t="s">
        <v>46</v>
      </c>
      <c r="C13" t="s">
        <v>30</v>
      </c>
      <c r="D13" s="8">
        <v>0</v>
      </c>
      <c r="E13" s="16">
        <f>SUMIF(Ausgaben[Kostenstelle '[Auswahl']],Finanzplan[[#This Row],[Abkürzung Kostenstelle]],Ausgaben[Umfang '[€']])+SUMIF(Einnahmen[Kostenstelle],Finanzplan[[#This Row],[Abkürzung Kostenstelle]],Einnahmen[Umfang])</f>
        <v>0</v>
      </c>
      <c r="F13" s="8">
        <f>Finanzplan[[#This Row],[Umfang aktuelle Kalkulation]]-Finanzplan[[#This Row],[Umfang nach StuPa]]</f>
        <v>0</v>
      </c>
      <c r="G13" s="8">
        <v>0</v>
      </c>
      <c r="H13" s="8">
        <f>Finanzplan[[#This Row],[Empfehlung Änderung]]-Finanzplan[[#This Row],[Umfang nach StuPa]]</f>
        <v>0</v>
      </c>
      <c r="I13" s="16">
        <v>-77.760000000000005</v>
      </c>
      <c r="J13" s="9">
        <f>IFERROR(Finanzplan[[#This Row],[Umfang aktuelle Kalkulation]]/Finanzplan[[#This Row],[Umfang nach StuPa]],1)</f>
        <v>1</v>
      </c>
      <c r="K13" s="14">
        <f>COUNTIF(Ausgaben[Kostenstelle '[Auswahl']],Finanzplan[[#This Row],[Abkürzung Kostenstelle]])+COUNTIF(Einnahmen[Kostenstelle],Finanzplan[[#This Row],[Abkürzung Kostenstelle]])</f>
        <v>0</v>
      </c>
    </row>
    <row r="14">
      <c r="A14" t="s">
        <v>47</v>
      </c>
      <c r="B14" t="s">
        <v>48</v>
      </c>
      <c r="C14" t="s">
        <v>30</v>
      </c>
      <c r="D14" s="8">
        <v>-4500</v>
      </c>
      <c r="E14" s="16">
        <f>SUMIF(Ausgaben[Kostenstelle '[Auswahl']],Finanzplan[[#This Row],[Abkürzung Kostenstelle]],Ausgaben[Umfang '[€']])+SUMIF(Einnahmen[Kostenstelle],Finanzplan[[#This Row],[Abkürzung Kostenstelle]],Einnahmen[Umfang])</f>
        <v>-2280</v>
      </c>
      <c r="F14" s="8">
        <f>Finanzplan[[#This Row],[Umfang aktuelle Kalkulation]]-Finanzplan[[#This Row],[Umfang nach StuPa]]</f>
        <v>2220</v>
      </c>
      <c r="G14" s="8">
        <v>-2500</v>
      </c>
      <c r="H14" s="8">
        <f>Finanzplan[[#This Row],[Empfehlung Änderung]]-Finanzplan[[#This Row],[Umfang nach StuPa]]</f>
        <v>2000</v>
      </c>
      <c r="I14" s="16">
        <v>-1843.6000000000001</v>
      </c>
      <c r="J14" s="9">
        <f>IFERROR(Finanzplan[[#This Row],[Umfang aktuelle Kalkulation]]/Finanzplan[[#This Row],[Umfang nach StuPa]],1)</f>
        <v>0.50666666666666671</v>
      </c>
      <c r="K14" s="14">
        <f>COUNTIF(Ausgaben[Kostenstelle '[Auswahl']],Finanzplan[[#This Row],[Abkürzung Kostenstelle]])+COUNTIF(Einnahmen[Kostenstelle],Finanzplan[[#This Row],[Abkürzung Kostenstelle]])</f>
        <v>2</v>
      </c>
    </row>
    <row r="15">
      <c r="A15" t="s">
        <v>49</v>
      </c>
      <c r="B15" t="s">
        <v>50</v>
      </c>
      <c r="C15" t="s">
        <v>30</v>
      </c>
      <c r="D15" s="8">
        <v>-3000</v>
      </c>
      <c r="E15" s="16">
        <f>SUMIF(Ausgaben[Kostenstelle '[Auswahl']],Finanzplan[[#This Row],[Abkürzung Kostenstelle]],Ausgaben[Umfang '[€']])+SUMIF(Einnahmen[Kostenstelle],Finanzplan[[#This Row],[Abkürzung Kostenstelle]],Einnahmen[Umfang])</f>
        <v>-2911.4200000000001</v>
      </c>
      <c r="F15" s="8">
        <f>Finanzplan[[#This Row],[Umfang aktuelle Kalkulation]]-Finanzplan[[#This Row],[Umfang nach StuPa]]</f>
        <v>88.579999999999927</v>
      </c>
      <c r="G15" s="8">
        <v>-3000</v>
      </c>
      <c r="H15" s="8">
        <f>Finanzplan[[#This Row],[Empfehlung Änderung]]-Finanzplan[[#This Row],[Umfang nach StuPa]]</f>
        <v>0</v>
      </c>
      <c r="I15" s="16">
        <v>-4207.3300000000008</v>
      </c>
      <c r="J15" s="9">
        <f>IFERROR(Finanzplan[[#This Row],[Umfang aktuelle Kalkulation]]/Finanzplan[[#This Row],[Umfang nach StuPa]],1)</f>
        <v>0.97047333333333341</v>
      </c>
      <c r="K15" s="14">
        <f>COUNTIF(Ausgaben[Kostenstelle '[Auswahl']],Finanzplan[[#This Row],[Abkürzung Kostenstelle]])+COUNTIF(Einnahmen[Kostenstelle],Finanzplan[[#This Row],[Abkürzung Kostenstelle]])</f>
        <v>11</v>
      </c>
    </row>
    <row r="16">
      <c r="A16" t="s">
        <v>51</v>
      </c>
      <c r="B16" t="s">
        <v>52</v>
      </c>
      <c r="C16" t="s">
        <v>30</v>
      </c>
      <c r="D16" s="8">
        <v>-400</v>
      </c>
      <c r="E16" s="16">
        <f>SUMIF(Ausgaben[Kostenstelle '[Auswahl']],Finanzplan[[#This Row],[Abkürzung Kostenstelle]],Ausgaben[Umfang '[€']])+SUMIF(Einnahmen[Kostenstelle],Finanzplan[[#This Row],[Abkürzung Kostenstelle]],Einnahmen[Umfang])</f>
        <v>-651.15999999999997</v>
      </c>
      <c r="F16" s="8">
        <f>Finanzplan[[#This Row],[Umfang aktuelle Kalkulation]]-Finanzplan[[#This Row],[Umfang nach StuPa]]</f>
        <v>-251.15999999999997</v>
      </c>
      <c r="G16" s="8">
        <v>-660</v>
      </c>
      <c r="H16" s="8">
        <f>Finanzplan[[#This Row],[Empfehlung Änderung]]-Finanzplan[[#This Row],[Umfang nach StuPa]]</f>
        <v>-260</v>
      </c>
      <c r="I16" s="16">
        <v>-166.59999999999999</v>
      </c>
      <c r="J16" s="9">
        <f>IFERROR(Finanzplan[[#This Row],[Umfang aktuelle Kalkulation]]/Finanzplan[[#This Row],[Umfang nach StuPa]],1)</f>
        <v>1.6278999999999999</v>
      </c>
      <c r="K16" s="14">
        <f>COUNTIF(Ausgaben[Kostenstelle '[Auswahl']],Finanzplan[[#This Row],[Abkürzung Kostenstelle]])+COUNTIF(Einnahmen[Kostenstelle],Finanzplan[[#This Row],[Abkürzung Kostenstelle]])</f>
        <v>1</v>
      </c>
    </row>
    <row r="17">
      <c r="A17" t="s">
        <v>53</v>
      </c>
      <c r="B17" t="s">
        <v>54</v>
      </c>
      <c r="C17" t="s">
        <v>30</v>
      </c>
      <c r="D17" s="8">
        <v>0</v>
      </c>
      <c r="E17" s="8">
        <f>SUMIF(Ausgaben[Kostenstelle '[Auswahl']],Finanzplan[[#This Row],[Abkürzung Kostenstelle]],Ausgaben[Umfang '[€']])+SUMIF(Einnahmen[Kostenstelle],Finanzplan[[#This Row],[Abkürzung Kostenstelle]],Einnahmen[Umfang])</f>
        <v>-571.20000000000005</v>
      </c>
      <c r="F17" s="8">
        <f>Finanzplan[[#This Row],[Umfang aktuelle Kalkulation]]-Finanzplan[[#This Row],[Umfang nach StuPa]]</f>
        <v>-571.20000000000005</v>
      </c>
      <c r="G17" s="8">
        <v>-600</v>
      </c>
      <c r="H17" s="8">
        <f>Finanzplan[[#This Row],[Empfehlung Änderung]]-Finanzplan[[#This Row],[Umfang nach StuPa]]</f>
        <v>-600</v>
      </c>
      <c r="I17" s="8">
        <v>0</v>
      </c>
      <c r="J17" s="9">
        <f>IFERROR(Finanzplan[[#This Row],[Umfang aktuelle Kalkulation]]/Finanzplan[[#This Row],[Umfang nach StuPa]],1)</f>
        <v>1</v>
      </c>
      <c r="K17" s="14">
        <f>COUNTIF(Ausgaben[Kostenstelle '[Auswahl']],Finanzplan[[#This Row],[Abkürzung Kostenstelle]])+COUNTIF(Einnahmen[Kostenstelle],Finanzplan[[#This Row],[Abkürzung Kostenstelle]])</f>
        <v>1</v>
      </c>
    </row>
    <row r="18">
      <c r="A18" t="s">
        <v>55</v>
      </c>
      <c r="B18" t="s">
        <v>56</v>
      </c>
      <c r="C18" t="s">
        <v>30</v>
      </c>
      <c r="D18" s="8">
        <v>-2000</v>
      </c>
      <c r="E18" s="8">
        <f>SUMIF(Ausgaben[Kostenstelle '[Auswahl']],Finanzplan[[#This Row],[Abkürzung Kostenstelle]],Ausgaben[Umfang '[€']])+SUMIF(Einnahmen[Kostenstelle],Finanzplan[[#This Row],[Abkürzung Kostenstelle]],Einnahmen[Umfang])</f>
        <v>-1544.5999999999999</v>
      </c>
      <c r="F18" s="8">
        <f>Finanzplan[[#This Row],[Umfang aktuelle Kalkulation]]-Finanzplan[[#This Row],[Umfang nach StuPa]]</f>
        <v>455.40000000000009</v>
      </c>
      <c r="G18" s="8">
        <v>-1700</v>
      </c>
      <c r="H18" s="8">
        <f>Finanzplan[[#This Row],[Empfehlung Änderung]]-Finanzplan[[#This Row],[Umfang nach StuPa]]</f>
        <v>300</v>
      </c>
      <c r="I18" s="8">
        <v>0</v>
      </c>
      <c r="J18" s="9">
        <f>IFERROR(Finanzplan[[#This Row],[Umfang aktuelle Kalkulation]]/Finanzplan[[#This Row],[Umfang nach StuPa]],1)</f>
        <v>0.77229999999999999</v>
      </c>
      <c r="K18" s="14">
        <f>COUNTIF(Ausgaben[Kostenstelle '[Auswahl']],Finanzplan[[#This Row],[Abkürzung Kostenstelle]])+COUNTIF(Einnahmen[Kostenstelle],Finanzplan[[#This Row],[Abkürzung Kostenstelle]])</f>
        <v>6</v>
      </c>
    </row>
    <row r="19">
      <c r="A19" t="s">
        <v>57</v>
      </c>
      <c r="B19" t="s">
        <v>58</v>
      </c>
      <c r="C19" t="s">
        <v>59</v>
      </c>
      <c r="D19" s="8">
        <v>-3900</v>
      </c>
      <c r="E19" s="16">
        <f>SUMIF(Ausgaben[Kostenstelle '[Auswahl']],Finanzplan[[#This Row],[Abkürzung Kostenstelle]],Ausgaben[Umfang '[€']])+SUMIF(Einnahmen[Kostenstelle],Finanzplan[[#This Row],[Abkürzung Kostenstelle]],Einnahmen[Umfang])</f>
        <v>0</v>
      </c>
      <c r="F19" s="8">
        <f>Finanzplan[[#This Row],[Umfang aktuelle Kalkulation]]-Finanzplan[[#This Row],[Umfang nach StuPa]]</f>
        <v>3900</v>
      </c>
      <c r="G19" s="8">
        <v>-2000</v>
      </c>
      <c r="H19" s="8">
        <f>Finanzplan[[#This Row],[Empfehlung Änderung]]-Finanzplan[[#This Row],[Umfang nach StuPa]]</f>
        <v>1900</v>
      </c>
      <c r="I19" s="16">
        <v>-1725</v>
      </c>
      <c r="J19" s="9">
        <f>IFERROR(Finanzplan[[#This Row],[Umfang aktuelle Kalkulation]]/Finanzplan[[#This Row],[Umfang nach StuPa]],1)</f>
        <v>0</v>
      </c>
      <c r="K19" s="14">
        <f>COUNTIF(Ausgaben[Kostenstelle '[Auswahl']],Finanzplan[[#This Row],[Abkürzung Kostenstelle]])+COUNTIF(Einnahmen[Kostenstelle],Finanzplan[[#This Row],[Abkürzung Kostenstelle]])</f>
        <v>1</v>
      </c>
    </row>
    <row r="20">
      <c r="A20" t="s">
        <v>60</v>
      </c>
      <c r="B20" t="s">
        <v>61</v>
      </c>
      <c r="C20" t="s">
        <v>59</v>
      </c>
      <c r="D20" s="8">
        <v>-4500</v>
      </c>
      <c r="E20" s="16">
        <f>SUMIF(Ausgaben[Kostenstelle '[Auswahl']],Finanzplan[[#This Row],[Abkürzung Kostenstelle]],Ausgaben[Umfang '[€']])+SUMIF(Einnahmen[Kostenstelle],Finanzplan[[#This Row],[Abkürzung Kostenstelle]],Einnahmen[Umfang])</f>
        <v>-5000</v>
      </c>
      <c r="F20" s="8">
        <f>Finanzplan[[#This Row],[Umfang aktuelle Kalkulation]]-Finanzplan[[#This Row],[Umfang nach StuPa]]</f>
        <v>-500</v>
      </c>
      <c r="G20" s="8">
        <v>-5000</v>
      </c>
      <c r="H20" s="8">
        <f>Finanzplan[[#This Row],[Empfehlung Änderung]]-Finanzplan[[#This Row],[Umfang nach StuPa]]</f>
        <v>-500</v>
      </c>
      <c r="I20" s="16">
        <v>-4151.79</v>
      </c>
      <c r="J20" s="9">
        <f>IFERROR(Finanzplan[[#This Row],[Umfang aktuelle Kalkulation]]/Finanzplan[[#This Row],[Umfang nach StuPa]],1)</f>
        <v>1.1111111111111112</v>
      </c>
      <c r="K20" s="14">
        <f>COUNTIF(Ausgaben[Kostenstelle '[Auswahl']],Finanzplan[[#This Row],[Abkürzung Kostenstelle]])+COUNTIF(Einnahmen[Kostenstelle],Finanzplan[[#This Row],[Abkürzung Kostenstelle]])</f>
        <v>1</v>
      </c>
    </row>
    <row r="21">
      <c r="A21" t="s">
        <v>62</v>
      </c>
      <c r="B21" t="s">
        <v>63</v>
      </c>
      <c r="C21" t="s">
        <v>59</v>
      </c>
      <c r="D21" s="8">
        <v>-2000</v>
      </c>
      <c r="E21" s="16">
        <f>SUMIF(Ausgaben[Kostenstelle '[Auswahl']],Finanzplan[[#This Row],[Abkürzung Kostenstelle]],Ausgaben[Umfang '[€']])+SUMIF(Einnahmen[Kostenstelle],Finanzplan[[#This Row],[Abkürzung Kostenstelle]],Einnahmen[Umfang])</f>
        <v>-1300</v>
      </c>
      <c r="F21" s="8">
        <f>Finanzplan[[#This Row],[Umfang aktuelle Kalkulation]]-Finanzplan[[#This Row],[Umfang nach StuPa]]</f>
        <v>700</v>
      </c>
      <c r="G21" s="8">
        <v>-1500</v>
      </c>
      <c r="H21" s="8">
        <f>Finanzplan[[#This Row],[Empfehlung Änderung]]-Finanzplan[[#This Row],[Umfang nach StuPa]]</f>
        <v>500</v>
      </c>
      <c r="I21" s="16">
        <v>-1909</v>
      </c>
      <c r="J21" s="9">
        <f>IFERROR(Finanzplan[[#This Row],[Umfang aktuelle Kalkulation]]/Finanzplan[[#This Row],[Umfang nach StuPa]],1)</f>
        <v>0.65000000000000002</v>
      </c>
      <c r="K21" s="14">
        <f>COUNTIF(Ausgaben[Kostenstelle '[Auswahl']],Finanzplan[[#This Row],[Abkürzung Kostenstelle]])+COUNTIF(Einnahmen[Kostenstelle],Finanzplan[[#This Row],[Abkürzung Kostenstelle]])</f>
        <v>2</v>
      </c>
    </row>
    <row r="22">
      <c r="A22" t="s">
        <v>64</v>
      </c>
      <c r="B22" t="s">
        <v>65</v>
      </c>
      <c r="C22" t="s">
        <v>59</v>
      </c>
      <c r="D22" s="8">
        <v>-1250</v>
      </c>
      <c r="E22" s="8">
        <f>SUMIF(Ausgaben[Kostenstelle '[Auswahl']],Finanzplan[[#This Row],[Abkürzung Kostenstelle]],Ausgaben[Umfang '[€']])+SUMIF(Einnahmen[Kostenstelle],Finanzplan[[#This Row],[Abkürzung Kostenstelle]],Einnahmen[Umfang])</f>
        <v>-900</v>
      </c>
      <c r="F22" s="8">
        <f>Finanzplan[[#This Row],[Umfang aktuelle Kalkulation]]-Finanzplan[[#This Row],[Umfang nach StuPa]]</f>
        <v>350</v>
      </c>
      <c r="G22" s="8">
        <v>-1000</v>
      </c>
      <c r="H22" s="8">
        <f>Finanzplan[[#This Row],[Empfehlung Änderung]]-Finanzplan[[#This Row],[Umfang nach StuPa]]</f>
        <v>250</v>
      </c>
      <c r="I22" s="8">
        <v>-931.95000000000005</v>
      </c>
      <c r="J22" s="9">
        <f>IFERROR(Finanzplan[[#This Row],[Umfang aktuelle Kalkulation]]/Finanzplan[[#This Row],[Umfang nach StuPa]],1)</f>
        <v>0.71999999999999997</v>
      </c>
      <c r="K22" s="14">
        <f>COUNTIF(Ausgaben[Kostenstelle '[Auswahl']],Finanzplan[[#This Row],[Abkürzung Kostenstelle]])+COUNTIF(Einnahmen[Kostenstelle],Finanzplan[[#This Row],[Abkürzung Kostenstelle]])</f>
        <v>1</v>
      </c>
    </row>
    <row r="23">
      <c r="A23" t="s">
        <v>66</v>
      </c>
      <c r="B23" t="s">
        <v>67</v>
      </c>
      <c r="C23" t="s">
        <v>68</v>
      </c>
      <c r="D23" s="8">
        <v>0</v>
      </c>
      <c r="E23" s="8">
        <v>0</v>
      </c>
      <c r="F23" s="8">
        <f>Finanzplan[[#This Row],[Umfang aktuelle Kalkulation]]-Finanzplan[[#This Row],[Umfang nach StuPa]]</f>
        <v>0</v>
      </c>
      <c r="G23" s="8">
        <v>0</v>
      </c>
      <c r="H23" s="8">
        <f>Finanzplan[[#This Row],[Empfehlung Änderung]]-Finanzplan[[#This Row],[Umfang nach StuPa]]</f>
        <v>0</v>
      </c>
      <c r="I23" s="8">
        <v>0</v>
      </c>
      <c r="J23" s="9">
        <f>IFERROR(Finanzplan[[#This Row],[Umfang aktuelle Kalkulation]]/Finanzplan[[#This Row],[Umfang nach StuPa]],1)</f>
        <v>1</v>
      </c>
      <c r="K23" s="14">
        <f>COUNTIF(Ausgaben[Kostenstelle '[Auswahl']],Finanzplan[[#This Row],[Abkürzung Kostenstelle]])+COUNTIF(Einnahmen[Kostenstelle],Finanzplan[[#This Row],[Abkürzung Kostenstelle]])</f>
        <v>0</v>
      </c>
    </row>
    <row r="24">
      <c r="A24" t="s">
        <v>69</v>
      </c>
      <c r="B24" t="s">
        <v>70</v>
      </c>
      <c r="C24" t="s">
        <v>68</v>
      </c>
      <c r="D24" s="8">
        <v>-10000</v>
      </c>
      <c r="E24" s="8">
        <f>SUMIF(Ausgaben[Kostenstelle '[Auswahl']],Finanzplan[[#This Row],[Abkürzung Kostenstelle]],Ausgaben[Umfang '[€']])+SUMIF(Einnahmen[Kostenstelle],Finanzplan[[#This Row],[Abkürzung Kostenstelle]],Einnahmen[Umfang])</f>
        <v>-467.46000000000004</v>
      </c>
      <c r="F24" s="8">
        <f>Finanzplan[[#This Row],[Umfang aktuelle Kalkulation]]-Finanzplan[[#This Row],[Umfang nach StuPa]]</f>
        <v>9532.5400000000009</v>
      </c>
      <c r="G24" s="8">
        <v>-10000</v>
      </c>
      <c r="H24" s="8">
        <f>Finanzplan[[#This Row],[Empfehlung Änderung]]-Finanzplan[[#This Row],[Umfang nach StuPa]]</f>
        <v>0</v>
      </c>
      <c r="I24" s="8">
        <v>-4157.8999999999996</v>
      </c>
      <c r="J24" s="9">
        <f>IFERROR(Finanzplan[[#This Row],[Umfang aktuelle Kalkulation]]/Finanzplan[[#This Row],[Umfang nach StuPa]],1)</f>
        <v>0.046746000000000003</v>
      </c>
      <c r="K24" s="14">
        <f>COUNTIF(Ausgaben[Kostenstelle '[Auswahl']],Finanzplan[[#This Row],[Abkürzung Kostenstelle]])+COUNTIF(Einnahmen[Kostenstelle],Finanzplan[[#This Row],[Abkürzung Kostenstelle]])</f>
        <v>6</v>
      </c>
    </row>
    <row r="25">
      <c r="A25" t="s">
        <v>71</v>
      </c>
      <c r="B25" t="s">
        <v>72</v>
      </c>
      <c r="C25" t="s">
        <v>73</v>
      </c>
      <c r="D25" s="8">
        <v>-5000</v>
      </c>
      <c r="E25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25" s="8">
        <f>Finanzplan[[#This Row],[Umfang aktuelle Kalkulation]]-Finanzplan[[#This Row],[Umfang nach StuPa]]</f>
        <v>5000</v>
      </c>
      <c r="G25" s="8">
        <v>0</v>
      </c>
      <c r="H25" s="8">
        <f>Finanzplan[[#This Row],[Empfehlung Änderung]]-Finanzplan[[#This Row],[Umfang nach StuPa]]</f>
        <v>5000</v>
      </c>
      <c r="I25" s="8">
        <v>-3162.6599999999999</v>
      </c>
      <c r="J25" s="9">
        <f>IFERROR(Finanzplan[[#This Row],[Umfang aktuelle Kalkulation]]/Finanzplan[[#This Row],[Umfang nach StuPa]],1)</f>
        <v>0</v>
      </c>
      <c r="K25" s="14">
        <f>COUNTIF(Ausgaben[Kostenstelle '[Auswahl']],Finanzplan[[#This Row],[Abkürzung Kostenstelle]])+COUNTIF(Einnahmen[Kostenstelle],Finanzplan[[#This Row],[Abkürzung Kostenstelle]])</f>
        <v>0</v>
      </c>
    </row>
    <row r="26">
      <c r="A26" t="s">
        <v>74</v>
      </c>
      <c r="B26" t="s">
        <v>75</v>
      </c>
      <c r="C26" t="s">
        <v>73</v>
      </c>
      <c r="D26" s="8">
        <v>0</v>
      </c>
      <c r="E26" s="8">
        <f>SUMIF(Ausgaben[Kostenstelle '[Auswahl']],Finanzplan[[#This Row],[Abkürzung Kostenstelle]],Ausgaben[Umfang '[€']])+SUMIF(Einnahmen[Kostenstelle],Finanzplan[[#This Row],[Abkürzung Kostenstelle]],Einnahmen[Umfang])</f>
        <v>-1913.2899999999997</v>
      </c>
      <c r="F26" s="8">
        <f>Finanzplan[[#This Row],[Umfang aktuelle Kalkulation]]-Finanzplan[[#This Row],[Umfang nach StuPa]]</f>
        <v>-1913.2899999999997</v>
      </c>
      <c r="G26" s="8">
        <v>-2500</v>
      </c>
      <c r="H26" s="8">
        <f>Finanzplan[[#This Row],[Empfehlung Änderung]]-Finanzplan[[#This Row],[Umfang nach StuPa]]</f>
        <v>-2500</v>
      </c>
      <c r="I26" s="8">
        <v>0</v>
      </c>
      <c r="J26" s="9">
        <f>IFERROR(Finanzplan[[#This Row],[Umfang aktuelle Kalkulation]]/Finanzplan[[#This Row],[Umfang nach StuPa]],1)</f>
        <v>1</v>
      </c>
      <c r="K26" s="14">
        <f>COUNTIF(Ausgaben[Kostenstelle '[Auswahl']],Finanzplan[[#This Row],[Abkürzung Kostenstelle]])+COUNTIF(Einnahmen[Kostenstelle],Finanzplan[[#This Row],[Abkürzung Kostenstelle]])</f>
        <v>13</v>
      </c>
    </row>
    <row r="27">
      <c r="A27" t="s">
        <v>76</v>
      </c>
      <c r="B27" t="s">
        <v>77</v>
      </c>
      <c r="C27" t="s">
        <v>73</v>
      </c>
      <c r="D27" s="8">
        <v>0</v>
      </c>
      <c r="E27" s="8">
        <f>SUMIF(Ausgaben[Kostenstelle '[Auswahl']],Finanzplan[[#This Row],[Abkürzung Kostenstelle]],Ausgaben[Umfang '[€']])+SUMIF(Einnahmen[Kostenstelle],Finanzplan[[#This Row],[Abkürzung Kostenstelle]],Einnahmen[Umfang])</f>
        <v>-2385</v>
      </c>
      <c r="F27" s="8">
        <f>Finanzplan[[#This Row],[Umfang aktuelle Kalkulation]]-Finanzplan[[#This Row],[Umfang nach StuPa]]</f>
        <v>-2385</v>
      </c>
      <c r="G27" s="8">
        <v>-2500</v>
      </c>
      <c r="H27" s="8">
        <f>Finanzplan[[#This Row],[Empfehlung Änderung]]-Finanzplan[[#This Row],[Umfang nach StuPa]]</f>
        <v>-2500</v>
      </c>
      <c r="I27" s="8">
        <v>0</v>
      </c>
      <c r="J27" s="9">
        <f>IFERROR(Finanzplan[[#This Row],[Umfang aktuelle Kalkulation]]/Finanzplan[[#This Row],[Umfang nach StuPa]],1)</f>
        <v>1</v>
      </c>
      <c r="K27" s="14">
        <f>COUNTIF(Ausgaben[Kostenstelle '[Auswahl']],Finanzplan[[#This Row],[Abkürzung Kostenstelle]])+COUNTIF(Einnahmen[Kostenstelle],Finanzplan[[#This Row],[Abkürzung Kostenstelle]])</f>
        <v>7</v>
      </c>
    </row>
    <row r="28">
      <c r="A28" t="s">
        <v>78</v>
      </c>
      <c r="B28" t="s">
        <v>79</v>
      </c>
      <c r="C28" t="s">
        <v>80</v>
      </c>
      <c r="D28" s="8">
        <v>-350</v>
      </c>
      <c r="E28" s="8">
        <f>SUMIF(Ausgaben[Kostenstelle '[Auswahl']],Finanzplan[[#This Row],[Abkürzung Kostenstelle]],Ausgaben[Umfang '[€']])+SUMIF(Einnahmen[Kostenstelle],Finanzplan[[#This Row],[Abkürzung Kostenstelle]],Einnahmen[Umfang])</f>
        <v>-290</v>
      </c>
      <c r="F28" s="8">
        <f>Finanzplan[[#This Row],[Umfang aktuelle Kalkulation]]-Finanzplan[[#This Row],[Umfang nach StuPa]]</f>
        <v>60</v>
      </c>
      <c r="G28" s="8">
        <v>-350</v>
      </c>
      <c r="H28" s="8">
        <f>Finanzplan[[#This Row],[Empfehlung Änderung]]-Finanzplan[[#This Row],[Umfang nach StuPa]]</f>
        <v>0</v>
      </c>
      <c r="I28" s="8">
        <v>-321.5</v>
      </c>
      <c r="J28" s="9">
        <f>IFERROR(Finanzplan[[#This Row],[Umfang aktuelle Kalkulation]]/Finanzplan[[#This Row],[Umfang nach StuPa]],1)</f>
        <v>0.82857142857142863</v>
      </c>
      <c r="K28" s="14">
        <f>COUNTIF(Ausgaben[Kostenstelle '[Auswahl']],Finanzplan[[#This Row],[Abkürzung Kostenstelle]])+COUNTIF(Einnahmen[Kostenstelle],Finanzplan[[#This Row],[Abkürzung Kostenstelle]])</f>
        <v>3</v>
      </c>
    </row>
    <row r="29">
      <c r="A29" t="s">
        <v>81</v>
      </c>
      <c r="B29" t="s">
        <v>82</v>
      </c>
      <c r="C29" t="s">
        <v>80</v>
      </c>
      <c r="D29" s="8">
        <v>-3000</v>
      </c>
      <c r="E29" s="8">
        <f>SUMIF(Ausgaben[Kostenstelle '[Auswahl']],Finanzplan[[#This Row],[Abkürzung Kostenstelle]],Ausgaben[Umfang '[€']])+SUMIF(Einnahmen[Kostenstelle],Finanzplan[[#This Row],[Abkürzung Kostenstelle]],Einnahmen[Umfang])</f>
        <v>-1447.49</v>
      </c>
      <c r="F29" s="8">
        <f>Finanzplan[[#This Row],[Umfang aktuelle Kalkulation]]-Finanzplan[[#This Row],[Umfang nach StuPa]]</f>
        <v>1552.51</v>
      </c>
      <c r="G29" s="8">
        <v>-3000</v>
      </c>
      <c r="H29" s="8">
        <f>Finanzplan[[#This Row],[Empfehlung Änderung]]-Finanzplan[[#This Row],[Umfang nach StuPa]]</f>
        <v>0</v>
      </c>
      <c r="I29" s="8">
        <v>-2520.0700000000002</v>
      </c>
      <c r="J29" s="9">
        <f>IFERROR(Finanzplan[[#This Row],[Umfang aktuelle Kalkulation]]/Finanzplan[[#This Row],[Umfang nach StuPa]],1)</f>
        <v>0.48249666666666668</v>
      </c>
      <c r="K29" s="14">
        <f>COUNTIF(Ausgaben[Kostenstelle '[Auswahl']],Finanzplan[[#This Row],[Abkürzung Kostenstelle]])+COUNTIF(Einnahmen[Kostenstelle],Finanzplan[[#This Row],[Abkürzung Kostenstelle]])</f>
        <v>9</v>
      </c>
    </row>
    <row r="30">
      <c r="A30" t="s">
        <v>83</v>
      </c>
      <c r="B30" t="s">
        <v>84</v>
      </c>
      <c r="C30" t="s">
        <v>80</v>
      </c>
      <c r="D30" s="8">
        <v>-1250</v>
      </c>
      <c r="E30" s="8">
        <f>SUMIF(Ausgaben[Kostenstelle '[Auswahl']],Finanzplan[[#This Row],[Abkürzung Kostenstelle]],Ausgaben[Umfang '[€']])+SUMIF(Einnahmen[Kostenstelle],Finanzplan[[#This Row],[Abkürzung Kostenstelle]],Einnahmen[Umfang])</f>
        <v>-919.87000000000012</v>
      </c>
      <c r="F30" s="8">
        <f>Finanzplan[[#This Row],[Umfang aktuelle Kalkulation]]-Finanzplan[[#This Row],[Umfang nach StuPa]]</f>
        <v>330.12999999999988</v>
      </c>
      <c r="G30" s="8">
        <v>-1250</v>
      </c>
      <c r="H30" s="8">
        <f>Finanzplan[[#This Row],[Empfehlung Änderung]]-Finanzplan[[#This Row],[Umfang nach StuPa]]</f>
        <v>0</v>
      </c>
      <c r="I30" s="8">
        <v>-953.86000000000001</v>
      </c>
      <c r="J30" s="9">
        <f>IFERROR(Finanzplan[[#This Row],[Umfang aktuelle Kalkulation]]/Finanzplan[[#This Row],[Umfang nach StuPa]],1)</f>
        <v>0.73589600000000011</v>
      </c>
      <c r="K30" s="14">
        <f>COUNTIF(Ausgaben[Kostenstelle '[Auswahl']],Finanzplan[[#This Row],[Abkürzung Kostenstelle]])+COUNTIF(Einnahmen[Kostenstelle],Finanzplan[[#This Row],[Abkürzung Kostenstelle]])</f>
        <v>7</v>
      </c>
    </row>
    <row r="31">
      <c r="A31" t="s">
        <v>85</v>
      </c>
      <c r="B31" t="s">
        <v>86</v>
      </c>
      <c r="C31" t="s">
        <v>80</v>
      </c>
      <c r="D31" s="8">
        <v>0</v>
      </c>
      <c r="E31" s="8">
        <f>SUMIF(Ausgaben[Kostenstelle '[Auswahl']],Finanzplan[[#This Row],[Abkürzung Kostenstelle]],Ausgaben[Umfang '[€']])+SUMIF(Einnahmen[Kostenstelle],Finanzplan[[#This Row],[Abkürzung Kostenstelle]],Einnahmen[Umfang])</f>
        <v>-40</v>
      </c>
      <c r="F31" s="8">
        <f>Finanzplan[[#This Row],[Umfang aktuelle Kalkulation]]-Finanzplan[[#This Row],[Umfang nach StuPa]]</f>
        <v>-40</v>
      </c>
      <c r="G31" s="8">
        <v>-40</v>
      </c>
      <c r="H31" s="8">
        <f>Finanzplan[[#This Row],[Empfehlung Änderung]]-Finanzplan[[#This Row],[Umfang nach StuPa]]</f>
        <v>-40</v>
      </c>
      <c r="I31" s="8">
        <v>0</v>
      </c>
      <c r="J31" s="9">
        <f>IFERROR(Finanzplan[[#This Row],[Umfang aktuelle Kalkulation]]/Finanzplan[[#This Row],[Umfang nach StuPa]],1)</f>
        <v>1</v>
      </c>
      <c r="K31" s="14">
        <f>COUNTIF(Ausgaben[Kostenstelle '[Auswahl']],Finanzplan[[#This Row],[Abkürzung Kostenstelle]])+COUNTIF(Einnahmen[Kostenstelle],Finanzplan[[#This Row],[Abkürzung Kostenstelle]])</f>
        <v>1</v>
      </c>
    </row>
    <row r="32">
      <c r="A32" t="s">
        <v>87</v>
      </c>
      <c r="B32" t="s">
        <v>88</v>
      </c>
      <c r="C32" t="s">
        <v>80</v>
      </c>
      <c r="D32" s="8">
        <v>-3200</v>
      </c>
      <c r="E32" s="8">
        <f>SUMIF(Ausgaben[Kostenstelle '[Auswahl']],Finanzplan[[#This Row],[Abkürzung Kostenstelle]],Ausgaben[Umfang '[€']])+SUMIF(Einnahmen[Kostenstelle],Finanzplan[[#This Row],[Abkürzung Kostenstelle]],Einnahmen[Umfang])</f>
        <v>-3012.4899999999998</v>
      </c>
      <c r="F32" s="8">
        <f>Finanzplan[[#This Row],[Umfang aktuelle Kalkulation]]-Finanzplan[[#This Row],[Umfang nach StuPa]]</f>
        <v>187.51000000000022</v>
      </c>
      <c r="G32" s="8">
        <v>-3020</v>
      </c>
      <c r="H32" s="8">
        <f>Finanzplan[[#This Row],[Empfehlung Änderung]]-Finanzplan[[#This Row],[Umfang nach StuPa]]</f>
        <v>180</v>
      </c>
      <c r="I32" s="8">
        <v>-2939</v>
      </c>
      <c r="J32" s="9">
        <f>IFERROR(Finanzplan[[#This Row],[Umfang aktuelle Kalkulation]]/Finanzplan[[#This Row],[Umfang nach StuPa]],1)</f>
        <v>0.9414031249999999</v>
      </c>
      <c r="K32" s="14">
        <f>COUNTIF(Ausgaben[Kostenstelle '[Auswahl']],Finanzplan[[#This Row],[Abkürzung Kostenstelle]])+COUNTIF(Einnahmen[Kostenstelle],Finanzplan[[#This Row],[Abkürzung Kostenstelle]])</f>
        <v>1</v>
      </c>
    </row>
    <row r="33">
      <c r="A33" t="s">
        <v>89</v>
      </c>
      <c r="B33" t="s">
        <v>90</v>
      </c>
      <c r="C33" t="s">
        <v>2</v>
      </c>
      <c r="D33" s="8">
        <v>3000</v>
      </c>
      <c r="E33" s="8">
        <f>SUMIF(Ausgaben[Kostenstelle '[Auswahl']],Finanzplan[[#This Row],[Abkürzung Kostenstelle]],Ausgaben[Umfang '[€']])+SUMIF(Einnahmen[Kostenstelle],Finanzplan[[#This Row],[Abkürzung Kostenstelle]],Einnahmen[Umfang])</f>
        <v>2430</v>
      </c>
      <c r="F33" s="8">
        <f>Finanzplan[[#This Row],[Umfang aktuelle Kalkulation]]-Finanzplan[[#This Row],[Umfang nach StuPa]]</f>
        <v>-570</v>
      </c>
      <c r="G33" s="8">
        <v>2400</v>
      </c>
      <c r="H33" s="8">
        <f>Finanzplan[[#This Row],[Empfehlung Änderung]]-Finanzplan[[#This Row],[Umfang nach StuPa]]</f>
        <v>-600</v>
      </c>
      <c r="I33" s="8">
        <v>1000</v>
      </c>
      <c r="J33" s="9">
        <f>IFERROR(Finanzplan[[#This Row],[Umfang aktuelle Kalkulation]]/Finanzplan[[#This Row],[Umfang nach StuPa]],1)</f>
        <v>0.81000000000000005</v>
      </c>
      <c r="K33" s="14">
        <f>COUNTIF(Ausgaben[Kostenstelle '[Auswahl']],Finanzplan[[#This Row],[Abkürzung Kostenstelle]])+COUNTIF(Einnahmen[Kostenstelle],Finanzplan[[#This Row],[Abkürzung Kostenstelle]])</f>
        <v>4</v>
      </c>
    </row>
    <row r="34">
      <c r="A34" t="s">
        <v>91</v>
      </c>
      <c r="B34" t="s">
        <v>92</v>
      </c>
      <c r="C34" t="s">
        <v>2</v>
      </c>
      <c r="D34" s="8">
        <v>4000</v>
      </c>
      <c r="E34" s="8">
        <f>SUMIF(Ausgaben[Kostenstelle '[Auswahl']],Finanzplan[[#This Row],[Abkürzung Kostenstelle]],Ausgaben[Umfang '[€']])+SUMIF(Einnahmen[Kostenstelle],Finanzplan[[#This Row],[Abkürzung Kostenstelle]],Einnahmen[Umfang])</f>
        <v>2500</v>
      </c>
      <c r="F34" s="8">
        <f>Finanzplan[[#This Row],[Umfang aktuelle Kalkulation]]-Finanzplan[[#This Row],[Umfang nach StuPa]]</f>
        <v>-1500</v>
      </c>
      <c r="G34" s="8">
        <v>2500</v>
      </c>
      <c r="H34" s="8">
        <f>Finanzplan[[#This Row],[Empfehlung Änderung]]-Finanzplan[[#This Row],[Umfang nach StuPa]]</f>
        <v>-1500</v>
      </c>
      <c r="I34" s="8">
        <v>4000</v>
      </c>
      <c r="J34" s="9">
        <f>IFERROR(Finanzplan[[#This Row],[Umfang aktuelle Kalkulation]]/Finanzplan[[#This Row],[Umfang nach StuPa]],1)</f>
        <v>0.625</v>
      </c>
      <c r="K34" s="14">
        <f>COUNTIF(Ausgaben[Kostenstelle '[Auswahl']],Finanzplan[[#This Row],[Abkürzung Kostenstelle]])+COUNTIF(Einnahmen[Kostenstelle],Finanzplan[[#This Row],[Abkürzung Kostenstelle]])</f>
        <v>1</v>
      </c>
    </row>
    <row r="35">
      <c r="A35" t="s">
        <v>93</v>
      </c>
      <c r="B35" t="s">
        <v>94</v>
      </c>
      <c r="C35" t="s">
        <v>2</v>
      </c>
      <c r="D35" s="8">
        <v>5000</v>
      </c>
      <c r="E35" s="8">
        <f>SUMIF(Ausgaben[Kostenstelle '[Auswahl']],Finanzplan[[#This Row],[Abkürzung Kostenstelle]],Ausgaben[Umfang '[€']])+SUMIF(Einnahmen[Kostenstelle],Finanzplan[[#This Row],[Abkürzung Kostenstelle]],Einnahmen[Umfang])</f>
        <v>2500</v>
      </c>
      <c r="F35" s="8">
        <f>Finanzplan[[#This Row],[Umfang aktuelle Kalkulation]]-Finanzplan[[#This Row],[Umfang nach StuPa]]</f>
        <v>-2500</v>
      </c>
      <c r="G35" s="8">
        <v>2500</v>
      </c>
      <c r="H35" s="8">
        <f>Finanzplan[[#This Row],[Empfehlung Änderung]]-Finanzplan[[#This Row],[Umfang nach StuPa]]</f>
        <v>-2500</v>
      </c>
      <c r="I35" s="8">
        <v>5000</v>
      </c>
      <c r="J35" s="9">
        <f>IFERROR(Finanzplan[[#This Row],[Umfang aktuelle Kalkulation]]/Finanzplan[[#This Row],[Umfang nach StuPa]],1)</f>
        <v>0.5</v>
      </c>
      <c r="K35" s="14">
        <f>COUNTIF(Ausgaben[Kostenstelle '[Auswahl']],Finanzplan[[#This Row],[Abkürzung Kostenstelle]])+COUNTIF(Einnahmen[Kostenstelle],Finanzplan[[#This Row],[Abkürzung Kostenstelle]])</f>
        <v>1</v>
      </c>
    </row>
    <row r="36">
      <c r="A36" t="s">
        <v>95</v>
      </c>
      <c r="B36" t="s">
        <v>96</v>
      </c>
      <c r="C36" t="s">
        <v>2</v>
      </c>
      <c r="D36" s="8">
        <v>15000</v>
      </c>
      <c r="E36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6" s="8">
        <f>Finanzplan[[#This Row],[Umfang aktuelle Kalkulation]]-Finanzplan[[#This Row],[Umfang nach StuPa]]</f>
        <v>-15000</v>
      </c>
      <c r="G36" s="8">
        <v>15000</v>
      </c>
      <c r="H36" s="8">
        <f>Finanzplan[[#This Row],[Empfehlung Änderung]]-Finanzplan[[#This Row],[Umfang nach StuPa]]</f>
        <v>0</v>
      </c>
      <c r="I36" s="8">
        <v>6883.25</v>
      </c>
      <c r="J36" s="9">
        <f>IFERROR(Finanzplan[[#This Row],[Umfang aktuelle Kalkulation]]/Finanzplan[[#This Row],[Umfang nach StuPa]],1)</f>
        <v>0</v>
      </c>
      <c r="K36" s="14">
        <f>COUNTIF(Ausgaben[Kostenstelle '[Auswahl']],Finanzplan[[#This Row],[Abkürzung Kostenstelle]])+COUNTIF(Einnahmen[Kostenstelle],Finanzplan[[#This Row],[Abkürzung Kostenstelle]])</f>
        <v>0</v>
      </c>
    </row>
    <row r="37">
      <c r="A37" t="s">
        <v>97</v>
      </c>
      <c r="B37" t="s">
        <v>98</v>
      </c>
      <c r="C37" t="s">
        <v>2</v>
      </c>
      <c r="D37" s="8">
        <v>0</v>
      </c>
      <c r="E37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7" s="8">
        <f>Finanzplan[[#This Row],[Umfang aktuelle Kalkulation]]-Finanzplan[[#This Row],[Umfang nach StuPa]]</f>
        <v>0</v>
      </c>
      <c r="G37" s="8">
        <v>0</v>
      </c>
      <c r="H37" s="8">
        <f>Finanzplan[[#This Row],[Empfehlung Änderung]]-Finanzplan[[#This Row],[Umfang nach StuPa]]</f>
        <v>0</v>
      </c>
      <c r="I37" s="8">
        <v>0</v>
      </c>
      <c r="J37" s="9">
        <f>IFERROR(Finanzplan[[#This Row],[Umfang aktuelle Kalkulation]]/Finanzplan[[#This Row],[Umfang nach StuPa]],1)</f>
        <v>1</v>
      </c>
      <c r="K37" s="14">
        <f>COUNTIF(Ausgaben[Kostenstelle '[Auswahl']],Finanzplan[[#This Row],[Abkürzung Kostenstelle]])+COUNTIF(Einnahmen[Kostenstelle],Finanzplan[[#This Row],[Abkürzung Kostenstelle]])</f>
        <v>0</v>
      </c>
    </row>
    <row r="38">
      <c r="A38" t="s">
        <v>99</v>
      </c>
      <c r="B38" t="s">
        <v>100</v>
      </c>
      <c r="C38" t="s">
        <v>2</v>
      </c>
      <c r="D38" s="8">
        <v>1000</v>
      </c>
      <c r="E38" s="8">
        <f>SUMIF(Ausgaben[Kostenstelle '[Auswahl']],Finanzplan[[#This Row],[Abkürzung Kostenstelle]],Ausgaben[Umfang '[€']])+SUMIF(Einnahmen[Kostenstelle],Finanzplan[[#This Row],[Abkürzung Kostenstelle]],Einnahmen[Umfang])</f>
        <v>1000</v>
      </c>
      <c r="F38" s="8">
        <f>Finanzplan[[#This Row],[Umfang aktuelle Kalkulation]]-Finanzplan[[#This Row],[Umfang nach StuPa]]</f>
        <v>0</v>
      </c>
      <c r="G38" s="8">
        <v>1000</v>
      </c>
      <c r="H38" s="8">
        <f>Finanzplan[[#This Row],[Empfehlung Änderung]]-Finanzplan[[#This Row],[Umfang nach StuPa]]</f>
        <v>0</v>
      </c>
      <c r="I38" s="8">
        <v>542</v>
      </c>
      <c r="J38" s="9">
        <f>IFERROR(Finanzplan[[#This Row],[Umfang aktuelle Kalkulation]]/Finanzplan[[#This Row],[Umfang nach StuPa]],1)</f>
        <v>1</v>
      </c>
      <c r="K38" s="14">
        <f>COUNTIF(Ausgaben[Kostenstelle '[Auswahl']],Finanzplan[[#This Row],[Abkürzung Kostenstelle]])+COUNTIF(Einnahmen[Kostenstelle],Finanzplan[[#This Row],[Abkürzung Kostenstelle]])</f>
        <v>1</v>
      </c>
    </row>
    <row r="39">
      <c r="D39" s="8">
        <v>0</v>
      </c>
      <c r="E39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9" s="8">
        <f>Finanzplan[[#This Row],[Umfang aktuelle Kalkulation]]-Finanzplan[[#This Row],[Umfang nach StuPa]]</f>
        <v>0</v>
      </c>
      <c r="G39" s="8">
        <v>0</v>
      </c>
      <c r="H39" s="8">
        <f>Finanzplan[[#This Row],[Empfehlung Änderung]]-Finanzplan[[#This Row],[Umfang nach StuPa]]</f>
        <v>0</v>
      </c>
      <c r="I39" s="8">
        <v>0</v>
      </c>
      <c r="J39" s="9">
        <f>IFERROR(Finanzplan[[#This Row],[Umfang aktuelle Kalkulation]]/Finanzplan[[#This Row],[Umfang nach StuPa]],1)</f>
        <v>1</v>
      </c>
      <c r="K39" s="14">
        <f>COUNTIF(Ausgaben[Kostenstelle '[Auswahl']],Finanzplan[[#This Row],[Abkürzung Kostenstelle]])+COUNTIF(Einnahmen[Kostenstelle],Finanzplan[[#This Row],[Abkürzung Kostenstelle]])</f>
        <v>0</v>
      </c>
    </row>
    <row r="40">
      <c r="D40" s="8">
        <v>0</v>
      </c>
      <c r="E40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40" s="8">
        <f>Finanzplan[[#This Row],[Umfang aktuelle Kalkulation]]-Finanzplan[[#This Row],[Umfang nach StuPa]]</f>
        <v>0</v>
      </c>
      <c r="G40" s="8">
        <v>0</v>
      </c>
      <c r="H40" s="8">
        <f>Finanzplan[[#This Row],[Empfehlung Änderung]]-Finanzplan[[#This Row],[Umfang nach StuPa]]</f>
        <v>0</v>
      </c>
      <c r="I40" s="8">
        <v>0</v>
      </c>
      <c r="J40" s="9">
        <f>IFERROR(Finanzplan[[#This Row],[Umfang aktuelle Kalkulation]]/Finanzplan[[#This Row],[Umfang nach StuPa]],1)</f>
        <v>1</v>
      </c>
      <c r="K40" s="14">
        <f>COUNTIF(Ausgaben[Kostenstelle '[Auswahl']],Finanzplan[[#This Row],[Abkürzung Kostenstelle]])+COUNTIF(Einnahmen[Kostenstelle],Finanzplan[[#This Row],[Abkürzung Kostenstelle]])</f>
        <v>0</v>
      </c>
    </row>
    <row r="41">
      <c r="D41" s="8">
        <v>0</v>
      </c>
      <c r="E41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41" s="8">
        <f>Finanzplan[[#This Row],[Umfang aktuelle Kalkulation]]-Finanzplan[[#This Row],[Umfang nach StuPa]]</f>
        <v>0</v>
      </c>
      <c r="G41" s="8">
        <v>0</v>
      </c>
      <c r="H41" s="8">
        <f>Finanzplan[[#This Row],[Empfehlung Änderung]]-Finanzplan[[#This Row],[Umfang nach StuPa]]</f>
        <v>0</v>
      </c>
      <c r="I41" s="8">
        <v>0</v>
      </c>
      <c r="J41" s="9">
        <f>IFERROR(Finanzplan[[#This Row],[Umfang aktuelle Kalkulation]]/Finanzplan[[#This Row],[Umfang nach StuPa]],1)</f>
        <v>1</v>
      </c>
      <c r="K41" s="14">
        <f>COUNTIF(Ausgaben[Kostenstelle '[Auswahl']],Finanzplan[[#This Row],[Abkürzung Kostenstelle]])+COUNTIF(Einnahmen[Kostenstelle],Finanzplan[[#This Row],[Abkürzung Kostenstelle]])</f>
        <v>0</v>
      </c>
    </row>
    <row r="42">
      <c r="D42" s="8">
        <v>0</v>
      </c>
      <c r="E42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42" s="8">
        <f>Finanzplan[[#This Row],[Umfang aktuelle Kalkulation]]-Finanzplan[[#This Row],[Umfang nach StuPa]]</f>
        <v>0</v>
      </c>
      <c r="G42" s="8">
        <v>0</v>
      </c>
      <c r="H42" s="8">
        <f>Finanzplan[[#This Row],[Empfehlung Änderung]]-Finanzplan[[#This Row],[Umfang nach StuPa]]</f>
        <v>0</v>
      </c>
      <c r="I42" s="8">
        <v>0</v>
      </c>
      <c r="J42" s="9">
        <f>IFERROR(Finanzplan[[#This Row],[Umfang aktuelle Kalkulation]]/Finanzplan[[#This Row],[Umfang nach StuPa]],1)</f>
        <v>1</v>
      </c>
      <c r="K42" s="14">
        <f>COUNTIF(Ausgaben[Kostenstelle '[Auswahl']],Finanzplan[[#This Row],[Abkürzung Kostenstelle]])+COUNTIF(Einnahmen[Kostenstelle],Finanzplan[[#This Row],[Abkürzung Kostenstelle]])</f>
        <v>0</v>
      </c>
    </row>
    <row r="43">
      <c r="D43" s="8">
        <v>0</v>
      </c>
      <c r="E43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43" s="8">
        <f>Finanzplan[[#This Row],[Umfang aktuelle Kalkulation]]-Finanzplan[[#This Row],[Umfang nach StuPa]]</f>
        <v>0</v>
      </c>
      <c r="G43" s="8">
        <v>0</v>
      </c>
      <c r="H43" s="8">
        <f>Finanzplan[[#This Row],[Empfehlung Änderung]]-Finanzplan[[#This Row],[Umfang nach StuPa]]</f>
        <v>0</v>
      </c>
      <c r="I43" s="8">
        <v>0</v>
      </c>
      <c r="J43" s="9">
        <f>IFERROR(Finanzplan[[#This Row],[Umfang aktuelle Kalkulation]]/Finanzplan[[#This Row],[Umfang nach StuPa]],1)</f>
        <v>1</v>
      </c>
      <c r="K43" s="14">
        <f>COUNTIF(Ausgaben[Kostenstelle '[Auswahl']],Finanzplan[[#This Row],[Abkürzung Kostenstelle]])+COUNTIF(Einnahmen[Kostenstelle],Finanzplan[[#This Row],[Abkürzung Kostenstelle]])</f>
        <v>0</v>
      </c>
    </row>
    <row r="44">
      <c r="D44" s="2">
        <f>SUM(Finanzplan[Umfang nach StuPa])</f>
        <v>-55000</v>
      </c>
      <c r="E44" s="2">
        <f>SUBTOTAL(109,Finanzplan[Umfang aktuelle Kalkulation])</f>
        <v>-51495.18</v>
      </c>
      <c r="F44" s="2">
        <f>SUBTOTAL(109,Finanzplan[Differenz])</f>
        <v>3504.8199999999997</v>
      </c>
      <c r="G44" s="2">
        <f>SUBTOTAL(109,Finanzplan[Empfehlung Änderung])</f>
        <v>-54820</v>
      </c>
      <c r="H44" s="2">
        <f>SUM(Finanzplan[Differenz Änderung])</f>
        <v>180</v>
      </c>
      <c r="I44" s="2">
        <f>SUBTOTAL(109,Finanzplan[Umfang 2024])</f>
        <v>-44763.870000000003</v>
      </c>
      <c r="J44" s="17"/>
      <c r="K44" s="18"/>
    </row>
  </sheetData>
  <mergeCells count="1">
    <mergeCell ref="A2:L2"/>
  </mergeCells>
  <conditionalFormatting sqref="F5:F43">
    <cfRule type="colorScale" priority="4">
      <colorScale>
        <cfvo type="num" val="0"/>
        <cfvo type="num" val="1"/>
        <color theme="5" tint="0.59999389629810485"/>
        <color theme="9" tint="0.59999389629810485"/>
      </colorScale>
    </cfRule>
  </conditionalFormatting>
  <dataValidations count="1" disablePrompts="0">
    <dataValidation sqref="C5:C43" type="list" allowBlank="1" errorStyle="stop" imeMode="noControl" operator="between" showDropDown="0" showErrorMessage="1" showInputMessage="1">
      <formula1>Reference!$C$5:$C$19</formula1>
    </dataValidation>
  </dataValidation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priority="2" id="{009B001E-002B-40F7-9D72-00C300240098}">
            <x14:dataBar maxLength="100" minLength="0" border="1" axisPosition="automatic" direction="context" negativeBarBorderColorSameAsPositive="0">
              <x14:cfvo type="autoMin"/>
              <x14:cfvo type="autoMax"/>
              <x14:fillColor rgb="FFFFB628"/>
              <x14:borderColor rgb="FFFFB628"/>
              <x14:negativeFillColor indexed="2"/>
              <x14:negativeBorderColor indexed="2"/>
              <x14:axisColor indexed="64"/>
            </x14:dataBar>
          </x14:cfRule>
          <xm:sqref>K5:K43</xm:sqref>
        </x14:conditionalFormatting>
        <x14:conditionalFormatting xmlns:xm="http://schemas.microsoft.com/office/excel/2006/main">
          <x14:cfRule type="dataBar" priority="1" id="{000D000B-0019-4DE1-A873-005E003D0074}">
            <x14:dataBar maxLength="100" minLength="0" border="1" axisPosition="automatic" direction="context" negativeBarBorderColorSameAsPositive="0">
              <x14:cfvo type="autoMin"/>
              <x14:cfvo type="autoMax"/>
              <x14:fillColor rgb="FFD6007B"/>
              <x14:borderColor rgb="FFD6007B"/>
              <x14:negativeFillColor indexed="2"/>
              <x14:negativeBorderColor indexed="2"/>
              <x14:axisColor indexed="64"/>
            </x14:dataBar>
          </x14:cfRule>
          <xm:sqref>J5:J43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100" workbookViewId="0">
      <pane ySplit="6" topLeftCell="A7" activePane="bottomLeft" state="frozen"/>
      <selection activeCell="B30" activeCellId="0" sqref="B30"/>
    </sheetView>
  </sheetViews>
  <sheetFormatPr baseColWidth="10" defaultRowHeight="14.25"/>
  <cols>
    <col customWidth="1" min="1" max="1" width="5.77734375"/>
    <col customWidth="1" min="2" max="2" width="25"/>
    <col customWidth="1" min="3" max="3" width="16.21875"/>
    <col customWidth="1" min="4" max="4" width="15.109375"/>
    <col customWidth="1" min="5" max="5" width="11.77734375"/>
    <col customWidth="1" min="6" max="6" width="7.77734375"/>
    <col customWidth="1" min="7" max="7" width="14.6640625"/>
    <col customWidth="1" min="8" max="8" width="10.21875"/>
    <col customWidth="1" min="9" max="9" width="7.77734375"/>
    <col customWidth="1" min="10" max="10" width="13.21875"/>
    <col customWidth="1" min="11" max="11" width="8.44140625"/>
    <col customWidth="1" min="12" max="12" width="10.44140625"/>
    <col customWidth="1" min="15" max="15" width="11.5546875"/>
    <col customWidth="1" min="16" max="16" width="13.21875"/>
  </cols>
  <sheetData>
    <row r="1" ht="20.25">
      <c r="A1" s="1" t="s">
        <v>101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>
      <c r="A2" s="19" t="s">
        <v>102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ht="17.25">
      <c r="B3" s="5" t="s">
        <v>103</v>
      </c>
      <c r="C3" s="5"/>
      <c r="D3" s="5"/>
      <c r="E3" s="20">
        <f>SUM(Ausgaben[Umfang '[€']])</f>
        <v>-59925.179999999993</v>
      </c>
    </row>
    <row r="4" ht="15" customHeight="1"/>
    <row r="5">
      <c r="D5" s="2"/>
    </row>
    <row r="6" ht="76.200000000000003" customHeight="1">
      <c r="A6" s="7" t="s">
        <v>104</v>
      </c>
      <c r="B6" s="7" t="s">
        <v>105</v>
      </c>
      <c r="C6" s="7" t="s">
        <v>106</v>
      </c>
      <c r="D6" s="7" t="s">
        <v>107</v>
      </c>
      <c r="E6" s="7" t="s">
        <v>108</v>
      </c>
      <c r="F6" s="7" t="s">
        <v>109</v>
      </c>
      <c r="G6" s="7" t="s">
        <v>110</v>
      </c>
      <c r="H6" s="7" t="s">
        <v>111</v>
      </c>
      <c r="I6" s="7" t="s">
        <v>112</v>
      </c>
      <c r="J6" s="7" t="s">
        <v>113</v>
      </c>
      <c r="K6" s="7" t="s">
        <v>114</v>
      </c>
      <c r="L6" s="7" t="s">
        <v>115</v>
      </c>
      <c r="M6" s="7" t="s">
        <v>116</v>
      </c>
      <c r="N6" s="7" t="s">
        <v>117</v>
      </c>
      <c r="O6" s="7" t="s">
        <v>118</v>
      </c>
      <c r="P6" s="7" t="s">
        <v>119</v>
      </c>
    </row>
    <row r="7">
      <c r="A7" s="21">
        <v>1</v>
      </c>
      <c r="B7" t="s">
        <v>120</v>
      </c>
      <c r="C7" t="s">
        <v>121</v>
      </c>
      <c r="E7" s="8">
        <v>-3012.4899999999998</v>
      </c>
      <c r="F7" s="22">
        <v>1</v>
      </c>
      <c r="G7" t="s">
        <v>88</v>
      </c>
      <c r="H7" s="23">
        <v>45680</v>
      </c>
      <c r="I7" t="s">
        <v>122</v>
      </c>
      <c r="J7" t="s">
        <v>123</v>
      </c>
      <c r="K7" s="24">
        <f>IF(Ausgaben[[#This Row],[Umfang '[€']]]&lt;=-500,0,1)</f>
        <v>0</v>
      </c>
      <c r="L7" s="24" t="s">
        <v>124</v>
      </c>
      <c r="M7" s="23"/>
      <c r="N7" s="25" t="s">
        <v>125</v>
      </c>
      <c r="O7" s="25"/>
      <c r="P7" s="23"/>
    </row>
    <row r="8">
      <c r="A8" s="21">
        <v>2</v>
      </c>
      <c r="B8" t="s">
        <v>126</v>
      </c>
      <c r="C8" t="s">
        <v>121</v>
      </c>
      <c r="E8" s="8"/>
      <c r="F8" s="22">
        <v>2</v>
      </c>
      <c r="G8" t="s">
        <v>50</v>
      </c>
      <c r="H8" s="23">
        <v>45681</v>
      </c>
      <c r="I8" t="s">
        <v>122</v>
      </c>
      <c r="J8" t="s">
        <v>127</v>
      </c>
      <c r="K8" s="24">
        <f>IF(Ausgaben[[#This Row],[Umfang '[€']]]&lt;=-500,0,1)</f>
        <v>1</v>
      </c>
      <c r="L8" s="24"/>
      <c r="M8" s="23">
        <v>45659</v>
      </c>
      <c r="N8" s="25" t="s">
        <v>125</v>
      </c>
      <c r="O8" s="25"/>
    </row>
    <row r="9">
      <c r="A9" s="21">
        <v>3</v>
      </c>
      <c r="B9" t="s">
        <v>39</v>
      </c>
      <c r="C9" t="s">
        <v>128</v>
      </c>
      <c r="E9" s="8">
        <v>-12379.99</v>
      </c>
      <c r="F9" s="22"/>
      <c r="G9" t="s">
        <v>40</v>
      </c>
      <c r="H9" s="23">
        <v>45695</v>
      </c>
      <c r="I9" t="s">
        <v>122</v>
      </c>
      <c r="J9" t="s">
        <v>129</v>
      </c>
      <c r="K9" s="24">
        <f>IF(Ausgaben[[#This Row],[Umfang '[€']]]&lt;=-500,0,1)</f>
        <v>0</v>
      </c>
      <c r="L9" s="24" t="s">
        <v>124</v>
      </c>
      <c r="M9" s="23">
        <v>45695</v>
      </c>
      <c r="N9" s="25"/>
      <c r="O9" s="25"/>
      <c r="P9" s="23"/>
    </row>
    <row r="10">
      <c r="A10" s="21">
        <v>4</v>
      </c>
      <c r="B10" t="s">
        <v>130</v>
      </c>
      <c r="E10" s="8">
        <v>-800</v>
      </c>
      <c r="F10" s="22"/>
      <c r="G10" t="s">
        <v>40</v>
      </c>
      <c r="H10" s="23"/>
      <c r="J10" t="s">
        <v>129</v>
      </c>
      <c r="K10" s="24">
        <f>IF(Ausgaben[[#This Row],[Umfang '[€']]]&lt;=-500,0,1)</f>
        <v>0</v>
      </c>
      <c r="L10" s="24"/>
      <c r="M10" s="23"/>
      <c r="N10" s="25"/>
      <c r="O10" s="25"/>
      <c r="P10" s="23"/>
    </row>
    <row r="11">
      <c r="A11" s="21">
        <v>5</v>
      </c>
      <c r="B11" t="s">
        <v>41</v>
      </c>
      <c r="C11" t="s">
        <v>131</v>
      </c>
      <c r="E11" s="8">
        <v>-1602.48</v>
      </c>
      <c r="F11" s="22"/>
      <c r="G11" t="s">
        <v>42</v>
      </c>
      <c r="H11" s="23">
        <v>45715</v>
      </c>
      <c r="I11" t="s">
        <v>122</v>
      </c>
      <c r="J11" t="s">
        <v>129</v>
      </c>
      <c r="K11" s="24">
        <f>IF(Ausgaben[[#This Row],[Umfang '[€']]]&lt;=-500,0,1)</f>
        <v>0</v>
      </c>
      <c r="L11" s="24" t="s">
        <v>124</v>
      </c>
      <c r="M11" s="23">
        <v>45715</v>
      </c>
      <c r="N11" s="26" t="s">
        <v>125</v>
      </c>
      <c r="O11" s="25"/>
      <c r="P11" s="23"/>
    </row>
    <row r="12">
      <c r="A12" s="21">
        <v>6</v>
      </c>
      <c r="B12" t="s">
        <v>132</v>
      </c>
      <c r="E12" s="8">
        <v>-1200</v>
      </c>
      <c r="F12" s="22"/>
      <c r="G12" t="s">
        <v>42</v>
      </c>
      <c r="H12" s="23"/>
      <c r="J12" t="s">
        <v>129</v>
      </c>
      <c r="K12" s="24">
        <f>IF(Ausgaben[[#This Row],[Umfang '[€']]]&lt;=-500,0,1)</f>
        <v>0</v>
      </c>
      <c r="L12" s="24"/>
      <c r="M12" s="23"/>
      <c r="N12" s="25"/>
      <c r="O12" s="25"/>
      <c r="P12" s="23"/>
    </row>
    <row r="13">
      <c r="A13" s="21">
        <v>7</v>
      </c>
      <c r="B13" t="s">
        <v>133</v>
      </c>
      <c r="C13" t="s">
        <v>134</v>
      </c>
      <c r="E13" s="8">
        <v>-289.17000000000002</v>
      </c>
      <c r="F13" s="22"/>
      <c r="G13" t="s">
        <v>36</v>
      </c>
      <c r="H13" s="23">
        <v>45699</v>
      </c>
      <c r="I13" t="s">
        <v>122</v>
      </c>
      <c r="J13" t="s">
        <v>135</v>
      </c>
      <c r="K13" s="24">
        <f>IF(Ausgaben[[#This Row],[Umfang '[€']]]&lt;=-500,0,1)</f>
        <v>1</v>
      </c>
      <c r="L13" s="24" t="s">
        <v>124</v>
      </c>
      <c r="M13" s="23"/>
      <c r="N13" s="26"/>
      <c r="O13" s="25"/>
      <c r="P13" s="23"/>
    </row>
    <row r="14">
      <c r="A14" s="21">
        <v>8</v>
      </c>
      <c r="B14" t="s">
        <v>136</v>
      </c>
      <c r="E14" s="8">
        <v>-579.55999999999995</v>
      </c>
      <c r="F14" s="22"/>
      <c r="G14" t="s">
        <v>38</v>
      </c>
      <c r="H14" s="23">
        <v>45727</v>
      </c>
      <c r="I14" t="s">
        <v>122</v>
      </c>
      <c r="J14" t="s">
        <v>135</v>
      </c>
      <c r="K14" s="24">
        <f>IF(Ausgaben[[#This Row],[Umfang '[€']]]&lt;=-500,0,1)</f>
        <v>0</v>
      </c>
      <c r="L14" s="24" t="s">
        <v>124</v>
      </c>
      <c r="M14" s="23">
        <v>45727</v>
      </c>
      <c r="N14" s="25" t="s">
        <v>125</v>
      </c>
      <c r="O14" s="25"/>
      <c r="P14" s="23"/>
    </row>
    <row r="15">
      <c r="A15" s="21">
        <v>9</v>
      </c>
      <c r="B15" t="s">
        <v>137</v>
      </c>
      <c r="E15" s="8">
        <v>-1000</v>
      </c>
      <c r="F15" s="22"/>
      <c r="G15" t="s">
        <v>32</v>
      </c>
      <c r="H15" s="23"/>
      <c r="K15" s="24">
        <f>IF(Ausgaben[[#This Row],[Umfang '[€']]]&lt;=-500,0,1)</f>
        <v>0</v>
      </c>
      <c r="L15" s="24"/>
      <c r="M15" s="23"/>
      <c r="N15" s="27"/>
      <c r="O15" s="26"/>
    </row>
    <row r="16">
      <c r="A16" s="21">
        <v>10</v>
      </c>
      <c r="B16" t="s">
        <v>138</v>
      </c>
      <c r="C16" t="s">
        <v>139</v>
      </c>
      <c r="E16" s="8">
        <v>-651.15999999999997</v>
      </c>
      <c r="F16" s="22"/>
      <c r="G16" t="s">
        <v>52</v>
      </c>
      <c r="H16" s="23">
        <v>45779</v>
      </c>
      <c r="I16" t="s">
        <v>122</v>
      </c>
      <c r="J16" t="s">
        <v>123</v>
      </c>
      <c r="K16" s="24">
        <f>IF(Ausgaben[[#This Row],[Umfang '[€']]]&lt;=-500,0,1)</f>
        <v>0</v>
      </c>
      <c r="L16" s="24"/>
      <c r="M16" s="23"/>
      <c r="N16" s="25"/>
      <c r="O16" s="25"/>
      <c r="P16" s="23"/>
    </row>
    <row r="17">
      <c r="A17" s="21">
        <v>11</v>
      </c>
      <c r="E17" s="8"/>
      <c r="F17" s="22"/>
      <c r="H17" s="23"/>
      <c r="K17" s="24">
        <f>IF(Ausgaben[[#This Row],[Umfang '[€']]]&lt;=-500,0,1)</f>
        <v>1</v>
      </c>
      <c r="L17" s="24"/>
      <c r="M17" s="23"/>
      <c r="N17" s="26"/>
      <c r="O17" s="25"/>
      <c r="P17" s="23"/>
    </row>
    <row r="18">
      <c r="A18" s="21">
        <v>12</v>
      </c>
      <c r="B18" t="s">
        <v>140</v>
      </c>
      <c r="E18" s="8">
        <v>-5000</v>
      </c>
      <c r="F18" s="22"/>
      <c r="G18" t="s">
        <v>61</v>
      </c>
      <c r="H18" s="23"/>
      <c r="K18" s="24">
        <f>IF(Ausgaben[[#This Row],[Umfang '[€']]]&lt;=-500,0,1)</f>
        <v>0</v>
      </c>
      <c r="L18" s="24"/>
      <c r="M18" s="23"/>
      <c r="N18" s="25"/>
      <c r="O18" s="25"/>
      <c r="P18" s="23"/>
    </row>
    <row r="19">
      <c r="A19" s="21">
        <v>13</v>
      </c>
      <c r="B19" t="s">
        <v>64</v>
      </c>
      <c r="E19" s="8">
        <v>-900</v>
      </c>
      <c r="F19" s="22"/>
      <c r="G19" t="s">
        <v>65</v>
      </c>
      <c r="H19" s="23"/>
      <c r="K19" s="24">
        <f>IF(Ausgaben[[#This Row],[Umfang '[€']]]&lt;=-500,0,1)</f>
        <v>0</v>
      </c>
      <c r="L19" s="24"/>
      <c r="M19" s="23"/>
      <c r="N19" s="25"/>
      <c r="O19" s="26"/>
      <c r="P19" s="23"/>
    </row>
    <row r="20">
      <c r="A20" s="21">
        <v>14</v>
      </c>
      <c r="B20" t="s">
        <v>141</v>
      </c>
      <c r="C20" t="s">
        <v>142</v>
      </c>
      <c r="E20" s="8">
        <v>-9.9299999999999997</v>
      </c>
      <c r="F20" s="22"/>
      <c r="G20" t="s">
        <v>50</v>
      </c>
      <c r="H20" s="23">
        <v>45693</v>
      </c>
      <c r="I20" t="s">
        <v>143</v>
      </c>
      <c r="J20" t="s">
        <v>144</v>
      </c>
      <c r="K20" s="24">
        <f>IF(Ausgaben[[#This Row],[Umfang '[€']]]&lt;=-500,0,1)</f>
        <v>1</v>
      </c>
      <c r="L20" s="24" t="s">
        <v>145</v>
      </c>
      <c r="M20" s="23">
        <v>45693</v>
      </c>
      <c r="N20" s="25"/>
      <c r="O20" s="26" t="s">
        <v>145</v>
      </c>
      <c r="P20" t="s">
        <v>143</v>
      </c>
    </row>
    <row r="21">
      <c r="A21" s="21">
        <v>15</v>
      </c>
      <c r="B21" t="s">
        <v>146</v>
      </c>
      <c r="C21" t="s">
        <v>147</v>
      </c>
      <c r="E21" s="8">
        <v>-19.300000000000001</v>
      </c>
      <c r="F21" s="22"/>
      <c r="G21" t="s">
        <v>50</v>
      </c>
      <c r="H21" s="23">
        <v>45693</v>
      </c>
      <c r="I21" t="s">
        <v>143</v>
      </c>
      <c r="J21" t="s">
        <v>144</v>
      </c>
      <c r="K21" s="24">
        <f>IF(Ausgaben[[#This Row],[Umfang '[€']]]&lt;=-500,0,1)</f>
        <v>1</v>
      </c>
      <c r="L21" s="24" t="s">
        <v>145</v>
      </c>
      <c r="M21" s="28">
        <v>45693</v>
      </c>
      <c r="N21" s="25"/>
      <c r="O21" s="25" t="s">
        <v>148</v>
      </c>
      <c r="P21" t="s">
        <v>143</v>
      </c>
    </row>
    <row r="22">
      <c r="A22" s="21">
        <v>16</v>
      </c>
      <c r="B22" t="s">
        <v>149</v>
      </c>
      <c r="C22" t="s">
        <v>150</v>
      </c>
      <c r="E22" s="8">
        <v>-571.20000000000005</v>
      </c>
      <c r="F22" s="22"/>
      <c r="G22" t="s">
        <v>54</v>
      </c>
      <c r="H22" s="23">
        <v>45695</v>
      </c>
      <c r="I22" t="s">
        <v>122</v>
      </c>
      <c r="J22" t="s">
        <v>123</v>
      </c>
      <c r="K22" s="24">
        <f>IF(Ausgaben[[#This Row],[Umfang '[€']]]&lt;=-500,0,1)</f>
        <v>0</v>
      </c>
      <c r="L22" s="24"/>
      <c r="M22" s="23">
        <v>45699</v>
      </c>
      <c r="N22" s="25"/>
      <c r="O22" s="25"/>
    </row>
    <row r="23">
      <c r="A23" s="21">
        <v>17</v>
      </c>
      <c r="B23" t="s">
        <v>151</v>
      </c>
      <c r="C23" t="s">
        <v>152</v>
      </c>
      <c r="E23" s="8">
        <v>-116.44</v>
      </c>
      <c r="F23" s="22"/>
      <c r="G23" t="s">
        <v>75</v>
      </c>
      <c r="H23" s="23">
        <v>45357</v>
      </c>
      <c r="I23" t="s">
        <v>122</v>
      </c>
      <c r="J23" t="s">
        <v>71</v>
      </c>
      <c r="K23" s="24">
        <f>IF(Ausgaben[[#This Row],[Umfang '[€']]]&lt;=-500,0,1)</f>
        <v>1</v>
      </c>
      <c r="L23" s="24" t="s">
        <v>145</v>
      </c>
      <c r="M23" s="23">
        <v>45722</v>
      </c>
      <c r="N23" s="25"/>
      <c r="O23" s="25" t="s">
        <v>145</v>
      </c>
      <c r="P23" s="23">
        <v>45723</v>
      </c>
    </row>
    <row r="24">
      <c r="A24" s="21">
        <v>18</v>
      </c>
      <c r="B24" t="s">
        <v>153</v>
      </c>
      <c r="C24" t="s">
        <v>154</v>
      </c>
      <c r="D24" t="s">
        <v>155</v>
      </c>
      <c r="E24" s="8">
        <v>-150</v>
      </c>
      <c r="F24" s="22"/>
      <c r="G24" t="s">
        <v>56</v>
      </c>
      <c r="H24" s="23">
        <v>45727</v>
      </c>
      <c r="I24" t="s">
        <v>122</v>
      </c>
      <c r="J24" t="s">
        <v>156</v>
      </c>
      <c r="K24" s="24">
        <f>IF(Ausgaben[[#This Row],[Umfang '[€']]]&lt;=-500,0,1)</f>
        <v>1</v>
      </c>
      <c r="L24" s="24"/>
      <c r="M24" s="23"/>
      <c r="N24" s="25"/>
      <c r="O24" s="25"/>
    </row>
    <row r="25">
      <c r="A25" s="21">
        <v>19</v>
      </c>
      <c r="B25" t="s">
        <v>157</v>
      </c>
      <c r="C25" t="s">
        <v>158</v>
      </c>
      <c r="D25" t="s">
        <v>155</v>
      </c>
      <c r="E25" s="8">
        <v>-235.62</v>
      </c>
      <c r="F25" s="22"/>
      <c r="G25" t="s">
        <v>56</v>
      </c>
      <c r="H25" s="23">
        <v>45727</v>
      </c>
      <c r="I25" t="s">
        <v>122</v>
      </c>
      <c r="J25" t="s">
        <v>156</v>
      </c>
      <c r="K25" s="24">
        <f>IF(Ausgaben[[#This Row],[Umfang '[€']]]&lt;=-500,0,1)</f>
        <v>1</v>
      </c>
      <c r="L25" s="24"/>
      <c r="M25" s="23">
        <v>45727</v>
      </c>
      <c r="N25" s="25"/>
      <c r="O25" s="25"/>
    </row>
    <row r="26">
      <c r="A26" s="21">
        <v>20</v>
      </c>
      <c r="B26" t="s">
        <v>159</v>
      </c>
      <c r="C26" t="s">
        <v>160</v>
      </c>
      <c r="D26" t="s">
        <v>161</v>
      </c>
      <c r="E26" s="8">
        <v>-8.7300000000000004</v>
      </c>
      <c r="F26" s="22"/>
      <c r="G26" t="s">
        <v>70</v>
      </c>
      <c r="H26" s="23">
        <v>45769</v>
      </c>
      <c r="I26" t="s">
        <v>122</v>
      </c>
      <c r="J26" t="s">
        <v>162</v>
      </c>
      <c r="K26" s="24">
        <v>1</v>
      </c>
      <c r="L26" s="24"/>
      <c r="M26" s="23">
        <v>45769</v>
      </c>
      <c r="N26" s="25"/>
      <c r="O26" s="25"/>
      <c r="P26" s="23" t="s">
        <v>122</v>
      </c>
    </row>
    <row r="27">
      <c r="A27" s="21">
        <v>21</v>
      </c>
      <c r="B27" t="s">
        <v>163</v>
      </c>
      <c r="C27" t="s">
        <v>164</v>
      </c>
      <c r="D27" t="s">
        <v>155</v>
      </c>
      <c r="E27" s="8">
        <v>-400</v>
      </c>
      <c r="F27" s="22"/>
      <c r="G27" t="s">
        <v>56</v>
      </c>
      <c r="H27" s="23">
        <v>45727</v>
      </c>
      <c r="I27" t="s">
        <v>122</v>
      </c>
      <c r="J27" t="s">
        <v>156</v>
      </c>
      <c r="K27" s="24">
        <f>IF(Ausgaben[[#This Row],[Umfang '[€']]]&lt;=-500,0,1)</f>
        <v>1</v>
      </c>
      <c r="L27" s="24"/>
      <c r="M27" s="23"/>
      <c r="N27" s="25"/>
      <c r="O27" s="25"/>
    </row>
    <row r="28">
      <c r="A28" s="21">
        <v>22</v>
      </c>
      <c r="B28" t="s">
        <v>165</v>
      </c>
      <c r="C28" t="s">
        <v>166</v>
      </c>
      <c r="D28" t="s">
        <v>155</v>
      </c>
      <c r="E28" s="8">
        <v>-670</v>
      </c>
      <c r="F28" s="22"/>
      <c r="G28" t="s">
        <v>56</v>
      </c>
      <c r="H28" s="23">
        <v>45727</v>
      </c>
      <c r="I28" t="s">
        <v>122</v>
      </c>
      <c r="J28" t="s">
        <v>156</v>
      </c>
      <c r="K28" s="24">
        <f>IF(Ausgaben[[#This Row],[Umfang '[€']]]&lt;=-500,0,1)</f>
        <v>0</v>
      </c>
      <c r="L28" s="24"/>
      <c r="M28" s="23"/>
      <c r="N28" s="25"/>
      <c r="O28" s="25"/>
    </row>
    <row r="29">
      <c r="A29" s="21">
        <v>23</v>
      </c>
      <c r="B29" t="s">
        <v>167</v>
      </c>
      <c r="C29" t="s">
        <v>168</v>
      </c>
      <c r="E29" s="8">
        <v>-78.980000000000004</v>
      </c>
      <c r="F29" s="22"/>
      <c r="G29" t="s">
        <v>56</v>
      </c>
      <c r="H29" s="23">
        <v>45727</v>
      </c>
      <c r="I29" t="s">
        <v>122</v>
      </c>
      <c r="J29" t="s">
        <v>156</v>
      </c>
      <c r="K29" s="24">
        <f>IF(Ausgaben[[#This Row],[Umfang '[€']]]&lt;=-500,0,1)</f>
        <v>1</v>
      </c>
      <c r="L29" s="24"/>
      <c r="M29" s="23">
        <v>45779</v>
      </c>
      <c r="N29" s="25"/>
      <c r="O29" s="25"/>
      <c r="P29" s="23" t="s">
        <v>122</v>
      </c>
    </row>
    <row r="30">
      <c r="A30" s="21">
        <v>24</v>
      </c>
      <c r="B30" t="s">
        <v>169</v>
      </c>
      <c r="C30" t="s">
        <v>170</v>
      </c>
      <c r="D30" t="s">
        <v>155</v>
      </c>
      <c r="E30" s="8">
        <v>-400</v>
      </c>
      <c r="F30" s="22"/>
      <c r="G30" t="s">
        <v>42</v>
      </c>
      <c r="H30" s="23"/>
      <c r="K30" s="24">
        <f>IF(Ausgaben[[#This Row],[Umfang '[€']]]&lt;=-500,0,1)</f>
        <v>1</v>
      </c>
      <c r="L30" s="24"/>
      <c r="N30" s="25"/>
      <c r="O30" s="25"/>
    </row>
    <row r="31">
      <c r="A31" s="21">
        <v>25</v>
      </c>
      <c r="B31" t="s">
        <v>171</v>
      </c>
      <c r="C31" t="s">
        <v>172</v>
      </c>
      <c r="D31" t="s">
        <v>173</v>
      </c>
      <c r="E31" s="8">
        <v>-550</v>
      </c>
      <c r="F31" s="22"/>
      <c r="G31" t="s">
        <v>42</v>
      </c>
      <c r="H31" s="23"/>
      <c r="K31" s="24">
        <f>IF(Ausgaben[[#This Row],[Umfang '[€']]]&lt;=-500,0,1)</f>
        <v>0</v>
      </c>
      <c r="L31" s="24"/>
      <c r="M31" s="23"/>
      <c r="N31" s="25"/>
      <c r="O31" s="25"/>
      <c r="P31" s="23"/>
    </row>
    <row r="32">
      <c r="A32" s="21">
        <v>26</v>
      </c>
      <c r="B32" t="s">
        <v>174</v>
      </c>
      <c r="C32" t="s">
        <v>175</v>
      </c>
      <c r="D32" t="s">
        <v>176</v>
      </c>
      <c r="E32" s="8">
        <v>-500</v>
      </c>
      <c r="F32" s="22"/>
      <c r="G32" t="s">
        <v>63</v>
      </c>
      <c r="H32" s="23"/>
      <c r="K32" s="24">
        <f>IF(Ausgaben[[#This Row],[Umfang '[€']]]&lt;=-500,0,1)</f>
        <v>0</v>
      </c>
      <c r="L32" s="24"/>
      <c r="M32" s="23"/>
      <c r="N32" s="25"/>
      <c r="O32" s="25"/>
    </row>
    <row r="33">
      <c r="A33" s="21">
        <v>27</v>
      </c>
      <c r="B33" t="s">
        <v>177</v>
      </c>
      <c r="C33" t="s">
        <v>175</v>
      </c>
      <c r="D33" t="s">
        <v>178</v>
      </c>
      <c r="E33" s="8">
        <v>-800</v>
      </c>
      <c r="F33" s="22"/>
      <c r="G33" t="s">
        <v>63</v>
      </c>
      <c r="H33" s="23"/>
      <c r="K33" s="24">
        <f>IF(Ausgaben[[#This Row],[Umfang '[€']]]&lt;=-500,0,1)</f>
        <v>0</v>
      </c>
      <c r="L33" s="24"/>
      <c r="M33" s="23"/>
      <c r="N33" s="25"/>
      <c r="O33" s="25"/>
    </row>
    <row r="34">
      <c r="A34" s="21">
        <v>28</v>
      </c>
      <c r="B34" t="s">
        <v>179</v>
      </c>
      <c r="C34" t="s">
        <v>180</v>
      </c>
      <c r="D34" t="s">
        <v>181</v>
      </c>
      <c r="E34" s="8">
        <v>-201.36000000000001</v>
      </c>
      <c r="F34" s="22"/>
      <c r="G34" t="s">
        <v>75</v>
      </c>
      <c r="H34" s="29">
        <v>45783</v>
      </c>
      <c r="I34" t="s">
        <v>122</v>
      </c>
      <c r="J34" t="s">
        <v>71</v>
      </c>
      <c r="K34" s="24">
        <f>IF(Ausgaben[[#This Row],[Umfang '[€']]]&lt;=-500,0,1)</f>
        <v>1</v>
      </c>
      <c r="L34" s="24"/>
      <c r="M34" s="29">
        <v>45782</v>
      </c>
      <c r="N34" s="25"/>
      <c r="O34" s="25" t="s">
        <v>145</v>
      </c>
      <c r="P34" t="s">
        <v>122</v>
      </c>
    </row>
    <row r="35">
      <c r="A35" s="21">
        <v>29</v>
      </c>
      <c r="B35" t="s">
        <v>182</v>
      </c>
      <c r="C35" t="s">
        <v>180</v>
      </c>
      <c r="D35" t="s">
        <v>183</v>
      </c>
      <c r="E35" s="8">
        <v>-56.579999999999998</v>
      </c>
      <c r="F35" s="22"/>
      <c r="G35" t="s">
        <v>75</v>
      </c>
      <c r="H35" s="29">
        <v>45783</v>
      </c>
      <c r="I35" t="s">
        <v>122</v>
      </c>
      <c r="J35" t="s">
        <v>71</v>
      </c>
      <c r="K35" s="24">
        <f>IF(Ausgaben[[#This Row],[Umfang '[€']]]&lt;=-500,0,1)</f>
        <v>1</v>
      </c>
      <c r="L35" s="24"/>
      <c r="M35" s="29">
        <v>45782</v>
      </c>
      <c r="N35" s="25"/>
      <c r="O35" s="25" t="s">
        <v>145</v>
      </c>
      <c r="P35" s="23" t="s">
        <v>122</v>
      </c>
    </row>
    <row r="36">
      <c r="A36" s="21">
        <v>30</v>
      </c>
      <c r="B36" t="s">
        <v>184</v>
      </c>
      <c r="C36" t="s">
        <v>180</v>
      </c>
      <c r="D36" t="s">
        <v>185</v>
      </c>
      <c r="E36" s="8">
        <v>-23.620000000000001</v>
      </c>
      <c r="F36" s="22"/>
      <c r="G36" t="s">
        <v>75</v>
      </c>
      <c r="H36" s="29">
        <v>45783</v>
      </c>
      <c r="I36" t="s">
        <v>122</v>
      </c>
      <c r="J36" t="s">
        <v>71</v>
      </c>
      <c r="K36" s="24">
        <f>IF(Ausgaben[[#This Row],[Umfang '[€']]]&lt;=-500,0,1)</f>
        <v>1</v>
      </c>
      <c r="L36" s="24"/>
      <c r="M36" s="29">
        <v>45782</v>
      </c>
      <c r="N36" s="25"/>
      <c r="O36" s="25" t="s">
        <v>145</v>
      </c>
      <c r="P36" t="s">
        <v>122</v>
      </c>
    </row>
    <row r="37">
      <c r="A37" s="21">
        <v>31</v>
      </c>
      <c r="B37" t="s">
        <v>186</v>
      </c>
      <c r="C37" t="s">
        <v>187</v>
      </c>
      <c r="E37" s="8">
        <v>-794.67999999999995</v>
      </c>
      <c r="F37" s="22"/>
      <c r="G37" t="s">
        <v>75</v>
      </c>
      <c r="H37" s="23">
        <v>45781</v>
      </c>
      <c r="I37" t="s">
        <v>122</v>
      </c>
      <c r="J37" t="s">
        <v>71</v>
      </c>
      <c r="K37" s="24">
        <f>IF(Ausgaben[[#This Row],[Umfang '[€']]]&lt;=-500,0,1)</f>
        <v>0</v>
      </c>
      <c r="L37" s="24"/>
      <c r="M37" s="29">
        <v>45782</v>
      </c>
      <c r="N37" s="25" t="s">
        <v>145</v>
      </c>
      <c r="O37" s="25"/>
    </row>
    <row r="38">
      <c r="A38" s="21">
        <v>32</v>
      </c>
      <c r="B38" t="s">
        <v>188</v>
      </c>
      <c r="E38" s="8">
        <v>-1800</v>
      </c>
      <c r="F38" s="22"/>
      <c r="G38" t="s">
        <v>48</v>
      </c>
      <c r="H38" s="23"/>
      <c r="K38" s="24">
        <f>IF(Ausgaben[[#This Row],[Umfang '[€']]]&lt;=-500,0,1)</f>
        <v>0</v>
      </c>
      <c r="L38" s="24"/>
      <c r="N38" s="25"/>
      <c r="O38" s="25"/>
    </row>
    <row r="39">
      <c r="A39" s="21">
        <v>33</v>
      </c>
      <c r="B39" t="s">
        <v>189</v>
      </c>
      <c r="C39" t="s">
        <v>190</v>
      </c>
      <c r="E39" s="8">
        <v>-300</v>
      </c>
      <c r="F39" s="22"/>
      <c r="G39" t="s">
        <v>70</v>
      </c>
      <c r="H39" s="23"/>
      <c r="K39" s="24">
        <f>IF(Ausgaben[[#This Row],[Umfang '[€']]]&lt;=-500,0,1)</f>
        <v>1</v>
      </c>
      <c r="L39" s="24"/>
      <c r="N39" s="25"/>
      <c r="O39" s="25"/>
    </row>
    <row r="40">
      <c r="A40" s="21">
        <v>34</v>
      </c>
      <c r="E40" s="8"/>
      <c r="F40" s="22"/>
      <c r="H40" s="23"/>
      <c r="K40" s="24">
        <f>IF(Ausgaben[[#This Row],[Umfang '[€']]]&lt;=-500,0,1)</f>
        <v>1</v>
      </c>
      <c r="L40" s="24"/>
      <c r="N40" s="25"/>
      <c r="O40" s="25"/>
    </row>
    <row r="41">
      <c r="A41" s="21">
        <v>36</v>
      </c>
      <c r="E41" s="8"/>
      <c r="F41" s="22"/>
      <c r="H41" s="23"/>
      <c r="K41" s="24">
        <f>IF(Ausgaben[[#This Row],[Umfang '[€']]]&lt;=-500,0,1)</f>
        <v>1</v>
      </c>
      <c r="L41" s="24"/>
      <c r="N41" s="25"/>
      <c r="O41" s="25"/>
    </row>
    <row r="42">
      <c r="A42" s="21">
        <v>51</v>
      </c>
      <c r="B42" t="s">
        <v>191</v>
      </c>
      <c r="E42" s="8">
        <v>-30</v>
      </c>
      <c r="F42" s="22"/>
      <c r="G42" t="s">
        <v>75</v>
      </c>
      <c r="H42" s="23"/>
      <c r="K42" s="24">
        <f>IF(Ausgaben[[#This Row],[Umfang '[€']]]&lt;=-500,0,1)</f>
        <v>1</v>
      </c>
      <c r="L42" s="24"/>
      <c r="M42" s="23"/>
      <c r="N42" s="25"/>
      <c r="O42" s="25"/>
      <c r="P42" s="23"/>
    </row>
    <row r="43">
      <c r="A43" s="21">
        <v>37</v>
      </c>
      <c r="B43" t="s">
        <v>192</v>
      </c>
      <c r="E43" s="8">
        <v>-100</v>
      </c>
      <c r="F43" s="22"/>
      <c r="G43" t="s">
        <v>42</v>
      </c>
      <c r="H43" s="23"/>
      <c r="K43" s="24">
        <f>IF(Ausgaben[[#This Row],[Umfang '[€']]]&lt;=-500,0,1)</f>
        <v>1</v>
      </c>
      <c r="L43" s="24"/>
      <c r="N43" s="25"/>
      <c r="O43" s="25"/>
    </row>
    <row r="44">
      <c r="A44" s="21">
        <v>38</v>
      </c>
      <c r="B44" t="s">
        <v>193</v>
      </c>
      <c r="C44" t="s">
        <v>194</v>
      </c>
      <c r="E44" s="8">
        <v>-89.75</v>
      </c>
      <c r="F44" s="22"/>
      <c r="G44" t="s">
        <v>82</v>
      </c>
      <c r="H44" s="29">
        <v>45742</v>
      </c>
      <c r="I44" t="s">
        <v>122</v>
      </c>
      <c r="J44" t="s">
        <v>123</v>
      </c>
      <c r="K44" s="24">
        <f>IF(Ausgaben[[#This Row],[Umfang '[€']]]&lt;=-500,0,1)</f>
        <v>1</v>
      </c>
      <c r="L44" s="24" t="s">
        <v>145</v>
      </c>
      <c r="M44" s="29">
        <v>45742</v>
      </c>
      <c r="N44" s="25"/>
      <c r="O44" s="25"/>
      <c r="P44" t="s">
        <v>122</v>
      </c>
    </row>
    <row r="45">
      <c r="A45" s="21">
        <v>39</v>
      </c>
      <c r="B45" t="s">
        <v>195</v>
      </c>
      <c r="E45" s="8">
        <v>-174</v>
      </c>
      <c r="F45" s="22"/>
      <c r="G45" t="s">
        <v>79</v>
      </c>
      <c r="H45" s="23"/>
      <c r="K45" s="24">
        <f>IF(Ausgaben[[#This Row],[Umfang '[€']]]&lt;=-500,0,1)</f>
        <v>1</v>
      </c>
      <c r="L45" s="24"/>
      <c r="N45" s="25"/>
      <c r="O45" s="25"/>
    </row>
    <row r="46">
      <c r="A46" s="21">
        <v>40</v>
      </c>
      <c r="B46" t="s">
        <v>196</v>
      </c>
      <c r="E46" s="8">
        <v>-58</v>
      </c>
      <c r="F46" s="22"/>
      <c r="G46" t="s">
        <v>79</v>
      </c>
      <c r="H46" s="23"/>
      <c r="K46" s="24">
        <f>IF(Ausgaben[[#This Row],[Umfang '[€']]]&lt;=-500,0,1)</f>
        <v>1</v>
      </c>
      <c r="L46" s="24"/>
      <c r="N46" s="25"/>
      <c r="O46" s="25"/>
    </row>
    <row r="47">
      <c r="A47" s="21">
        <v>41</v>
      </c>
      <c r="B47" t="s">
        <v>197</v>
      </c>
      <c r="E47" s="8">
        <v>-58</v>
      </c>
      <c r="F47" s="22"/>
      <c r="G47" t="s">
        <v>79</v>
      </c>
      <c r="H47" s="23"/>
      <c r="K47" s="24">
        <f>IF(Ausgaben[[#This Row],[Umfang '[€']]]&lt;=-500,0,1)</f>
        <v>1</v>
      </c>
      <c r="L47" s="24"/>
      <c r="N47" s="25"/>
      <c r="O47" s="25"/>
    </row>
    <row r="48">
      <c r="A48" s="21">
        <v>42</v>
      </c>
      <c r="B48" t="s">
        <v>198</v>
      </c>
      <c r="E48" s="8">
        <v>-150</v>
      </c>
      <c r="F48" s="22"/>
      <c r="G48" t="s">
        <v>70</v>
      </c>
      <c r="H48" s="23"/>
      <c r="K48" s="24">
        <f>IF(Ausgaben[[#This Row],[Umfang '[€']]]&lt;=-500,0,1)</f>
        <v>1</v>
      </c>
      <c r="L48" s="24"/>
      <c r="N48" s="25"/>
      <c r="O48" s="25"/>
    </row>
    <row r="49">
      <c r="A49" s="21">
        <v>43</v>
      </c>
      <c r="B49" t="s">
        <v>69</v>
      </c>
      <c r="C49" t="s">
        <v>199</v>
      </c>
      <c r="E49" s="8">
        <v>0</v>
      </c>
      <c r="F49" s="22"/>
      <c r="G49" t="s">
        <v>70</v>
      </c>
      <c r="H49" s="23"/>
      <c r="K49" s="24">
        <f>IF(Ausgaben[[#This Row],[Umfang '[€']]]&lt;=-500,0,1)</f>
        <v>1</v>
      </c>
      <c r="L49" s="24"/>
      <c r="N49" s="25"/>
      <c r="O49" s="25"/>
    </row>
    <row r="50">
      <c r="A50" s="21">
        <v>44</v>
      </c>
      <c r="B50" t="s">
        <v>200</v>
      </c>
      <c r="E50" s="8">
        <v>-100</v>
      </c>
      <c r="F50" s="22"/>
      <c r="G50" t="s">
        <v>82</v>
      </c>
      <c r="H50" s="23"/>
      <c r="K50" s="24">
        <f>IF(Ausgaben[[#This Row],[Umfang '[€']]]&lt;=-500,0,1)</f>
        <v>1</v>
      </c>
      <c r="L50" s="24"/>
      <c r="N50" s="25"/>
      <c r="O50" s="25"/>
    </row>
    <row r="51">
      <c r="A51" s="21">
        <v>45</v>
      </c>
      <c r="B51" t="s">
        <v>201</v>
      </c>
      <c r="C51" t="s">
        <v>202</v>
      </c>
      <c r="E51" s="8">
        <v>-264.35000000000002</v>
      </c>
      <c r="F51" s="22"/>
      <c r="G51" t="s">
        <v>82</v>
      </c>
      <c r="H51" s="23">
        <v>45734</v>
      </c>
      <c r="I51" t="s">
        <v>122</v>
      </c>
      <c r="J51" t="s">
        <v>123</v>
      </c>
      <c r="K51" s="24">
        <f>IF(Ausgaben[[#This Row],[Umfang '[€']]]&lt;=-500,0,1)</f>
        <v>1</v>
      </c>
      <c r="L51" s="24" t="s">
        <v>145</v>
      </c>
      <c r="M51" s="23">
        <v>45734</v>
      </c>
      <c r="N51" s="25"/>
      <c r="O51" s="25" t="s">
        <v>145</v>
      </c>
      <c r="P51" t="s">
        <v>122</v>
      </c>
    </row>
    <row r="52">
      <c r="A52" s="21">
        <v>46</v>
      </c>
      <c r="B52" t="s">
        <v>203</v>
      </c>
      <c r="C52" t="s">
        <v>204</v>
      </c>
      <c r="D52" t="s">
        <v>205</v>
      </c>
      <c r="E52" s="8">
        <v>-31.359999999999999</v>
      </c>
      <c r="F52" s="22"/>
      <c r="G52" t="s">
        <v>50</v>
      </c>
      <c r="H52" s="23">
        <v>45741</v>
      </c>
      <c r="I52" t="s">
        <v>122</v>
      </c>
      <c r="J52" t="s">
        <v>127</v>
      </c>
      <c r="K52" s="24">
        <f>IF(Ausgaben[[#This Row],[Umfang '[€']]]&lt;=-500,0,1)</f>
        <v>1</v>
      </c>
      <c r="L52" s="24" t="s">
        <v>145</v>
      </c>
      <c r="M52" s="29">
        <v>45741</v>
      </c>
      <c r="N52" s="25"/>
      <c r="O52" s="25" t="s">
        <v>145</v>
      </c>
      <c r="P52" s="29">
        <v>45742</v>
      </c>
    </row>
    <row r="53">
      <c r="A53" s="21">
        <v>47</v>
      </c>
      <c r="B53" t="s">
        <v>206</v>
      </c>
      <c r="C53" t="s">
        <v>207</v>
      </c>
      <c r="D53" t="s">
        <v>208</v>
      </c>
      <c r="E53" s="8">
        <v>-239.99000000000001</v>
      </c>
      <c r="F53" s="22"/>
      <c r="G53" t="s">
        <v>82</v>
      </c>
      <c r="H53" s="23">
        <v>45742</v>
      </c>
      <c r="I53" t="s">
        <v>122</v>
      </c>
      <c r="J53" t="s">
        <v>123</v>
      </c>
      <c r="K53" s="24">
        <f>IF(Ausgaben[[#This Row],[Umfang '[€']]]&lt;=-500,0,1)</f>
        <v>1</v>
      </c>
      <c r="L53" s="24" t="s">
        <v>145</v>
      </c>
      <c r="M53" s="29">
        <v>45742</v>
      </c>
      <c r="N53" s="25"/>
      <c r="O53" s="25" t="s">
        <v>145</v>
      </c>
      <c r="P53" s="29">
        <v>45769</v>
      </c>
    </row>
    <row r="54">
      <c r="A54" s="21">
        <v>48</v>
      </c>
      <c r="B54" t="s">
        <v>209</v>
      </c>
      <c r="C54" t="s">
        <v>160</v>
      </c>
      <c r="D54" t="s">
        <v>205</v>
      </c>
      <c r="E54" s="8">
        <v>-8.7899999999999991</v>
      </c>
      <c r="F54" s="22"/>
      <c r="G54" t="s">
        <v>50</v>
      </c>
      <c r="H54" s="29">
        <v>45742</v>
      </c>
      <c r="I54" t="s">
        <v>122</v>
      </c>
      <c r="J54" t="s">
        <v>127</v>
      </c>
      <c r="K54" s="24">
        <f>IF(Ausgaben[[#This Row],[Umfang '[€']]]&lt;=-500,0,1)</f>
        <v>1</v>
      </c>
      <c r="L54" s="24" t="s">
        <v>145</v>
      </c>
      <c r="M54" s="29">
        <v>45742</v>
      </c>
      <c r="N54" s="25"/>
      <c r="O54" s="25" t="s">
        <v>145</v>
      </c>
      <c r="P54" t="s">
        <v>143</v>
      </c>
    </row>
    <row r="55">
      <c r="A55" s="21">
        <v>49</v>
      </c>
      <c r="B55" t="s">
        <v>210</v>
      </c>
      <c r="C55" t="s">
        <v>211</v>
      </c>
      <c r="D55" t="s">
        <v>212</v>
      </c>
      <c r="E55" s="8">
        <v>-53.899999999999999</v>
      </c>
      <c r="F55" s="22"/>
      <c r="G55" t="s">
        <v>82</v>
      </c>
      <c r="H55" s="23">
        <v>45743</v>
      </c>
      <c r="I55" t="s">
        <v>122</v>
      </c>
      <c r="J55" t="s">
        <v>123</v>
      </c>
      <c r="K55" s="24">
        <f>IF(Ausgaben[[#This Row],[Umfang '[€']]]&lt;=-500,0,1)</f>
        <v>1</v>
      </c>
      <c r="L55" s="24" t="s">
        <v>145</v>
      </c>
      <c r="M55" s="29">
        <v>45743</v>
      </c>
      <c r="N55" s="25"/>
      <c r="O55" s="25" t="s">
        <v>145</v>
      </c>
      <c r="P55" s="23">
        <v>45769</v>
      </c>
    </row>
    <row r="56">
      <c r="A56" s="21">
        <v>50</v>
      </c>
      <c r="B56" t="s">
        <v>213</v>
      </c>
      <c r="C56" t="s">
        <v>214</v>
      </c>
      <c r="D56" t="s">
        <v>212</v>
      </c>
      <c r="E56" s="8">
        <v>-123.5</v>
      </c>
      <c r="F56" s="22"/>
      <c r="G56" t="s">
        <v>82</v>
      </c>
      <c r="H56" s="29">
        <v>45743</v>
      </c>
      <c r="I56" t="s">
        <v>122</v>
      </c>
      <c r="J56" t="s">
        <v>123</v>
      </c>
      <c r="K56" s="24">
        <f>IF(Ausgaben[[#This Row],[Umfang '[€']]]&lt;=-500,0,1)</f>
        <v>1</v>
      </c>
      <c r="L56" s="24" t="s">
        <v>145</v>
      </c>
      <c r="M56" s="29">
        <v>45743</v>
      </c>
      <c r="N56" s="25"/>
      <c r="O56" s="25"/>
      <c r="P56" s="23"/>
    </row>
    <row r="57">
      <c r="A57" s="21">
        <v>64</v>
      </c>
      <c r="B57" t="s">
        <v>215</v>
      </c>
      <c r="E57" s="8">
        <v>-20</v>
      </c>
      <c r="F57" s="22"/>
      <c r="G57" t="s">
        <v>75</v>
      </c>
      <c r="H57" s="23"/>
      <c r="K57" s="24">
        <f>IF(Ausgaben[[#This Row],[Umfang '[€']]]&lt;=-500,0,1)</f>
        <v>1</v>
      </c>
      <c r="L57" s="24"/>
      <c r="N57" s="25"/>
      <c r="O57" s="25"/>
    </row>
    <row r="58">
      <c r="A58" s="21">
        <v>52</v>
      </c>
      <c r="B58" t="s">
        <v>216</v>
      </c>
      <c r="E58" s="8">
        <v>0</v>
      </c>
      <c r="F58" s="22"/>
      <c r="G58" t="s">
        <v>58</v>
      </c>
      <c r="H58" s="23"/>
      <c r="K58" s="24">
        <f>IF(Ausgaben[[#This Row],[Umfang '[€']]]&lt;=-500,0,1)</f>
        <v>1</v>
      </c>
      <c r="L58" s="24"/>
      <c r="N58" s="25"/>
      <c r="O58" s="25"/>
      <c r="P58" s="23"/>
    </row>
    <row r="59">
      <c r="A59" s="21">
        <v>65</v>
      </c>
      <c r="B59" t="s">
        <v>217</v>
      </c>
      <c r="C59" t="s">
        <v>218</v>
      </c>
      <c r="E59" s="8">
        <v>-49.810000000000002</v>
      </c>
      <c r="F59" s="22"/>
      <c r="G59" t="s">
        <v>75</v>
      </c>
      <c r="H59" s="23">
        <v>45782</v>
      </c>
      <c r="I59" t="s">
        <v>122</v>
      </c>
      <c r="J59" t="s">
        <v>71</v>
      </c>
      <c r="K59" s="24">
        <f>IF(Ausgaben[[#This Row],[Umfang '[€']]]&lt;=-500,0,1)</f>
        <v>1</v>
      </c>
      <c r="L59" s="24" t="s">
        <v>145</v>
      </c>
      <c r="M59" s="29">
        <v>45782</v>
      </c>
      <c r="N59" s="25"/>
      <c r="O59" s="25" t="s">
        <v>145</v>
      </c>
      <c r="P59" t="s">
        <v>122</v>
      </c>
    </row>
    <row r="60">
      <c r="A60" s="21">
        <v>54</v>
      </c>
      <c r="E60" s="8"/>
      <c r="F60" s="22"/>
      <c r="H60" s="23"/>
      <c r="K60" s="24">
        <f>IF(Ausgaben[[#This Row],[Umfang '[€']]]&lt;=-500,0,1)</f>
        <v>1</v>
      </c>
      <c r="L60" s="24"/>
      <c r="N60" s="25"/>
      <c r="O60" s="25"/>
    </row>
    <row r="61">
      <c r="A61" s="21">
        <v>55</v>
      </c>
      <c r="B61" t="s">
        <v>219</v>
      </c>
      <c r="E61" s="8">
        <v>-120</v>
      </c>
      <c r="F61" s="22"/>
      <c r="G61" t="s">
        <v>84</v>
      </c>
      <c r="H61" s="23"/>
      <c r="K61" s="24">
        <f>IF(Ausgaben[[#This Row],[Umfang '[€']]]&lt;=-500,0,1)</f>
        <v>1</v>
      </c>
      <c r="L61" s="24"/>
      <c r="N61" s="25"/>
      <c r="O61" s="25"/>
      <c r="P61" s="23"/>
    </row>
    <row r="62">
      <c r="A62" s="21">
        <v>56</v>
      </c>
      <c r="B62" t="s">
        <v>220</v>
      </c>
      <c r="E62" s="8">
        <v>-270</v>
      </c>
      <c r="F62" s="22"/>
      <c r="G62" t="s">
        <v>84</v>
      </c>
      <c r="H62" s="23"/>
      <c r="K62" s="24">
        <f>IF(Ausgaben[[#This Row],[Umfang '[€']]]&lt;=-500,0,1)</f>
        <v>1</v>
      </c>
      <c r="L62" s="24"/>
      <c r="N62" s="25"/>
      <c r="O62" s="25"/>
    </row>
    <row r="63">
      <c r="A63" s="21">
        <v>57</v>
      </c>
      <c r="B63" t="s">
        <v>221</v>
      </c>
      <c r="E63" s="8">
        <v>-300</v>
      </c>
      <c r="F63" s="22"/>
      <c r="G63" t="s">
        <v>32</v>
      </c>
      <c r="H63" s="23"/>
      <c r="K63" s="24">
        <f>IF(Ausgaben[[#This Row],[Umfang '[€']]]&lt;=-500,0,1)</f>
        <v>1</v>
      </c>
      <c r="L63" s="24"/>
      <c r="N63" s="25"/>
      <c r="O63" s="25"/>
      <c r="P63" s="23"/>
    </row>
    <row r="64">
      <c r="A64" s="21">
        <v>58</v>
      </c>
      <c r="B64" t="s">
        <v>222</v>
      </c>
      <c r="C64" t="s">
        <v>218</v>
      </c>
      <c r="E64" s="8">
        <v>-49.810000000000002</v>
      </c>
      <c r="F64" s="22"/>
      <c r="G64" t="s">
        <v>75</v>
      </c>
      <c r="H64" s="23">
        <v>45779</v>
      </c>
      <c r="I64" t="s">
        <v>122</v>
      </c>
      <c r="J64" t="s">
        <v>71</v>
      </c>
      <c r="K64" s="24">
        <f>IF(Ausgaben[[#This Row],[Umfang '[€']]]&lt;=-500,0,1)</f>
        <v>1</v>
      </c>
      <c r="L64" s="24"/>
      <c r="N64" s="25"/>
      <c r="O64" s="25"/>
      <c r="P64" s="23" t="s">
        <v>122</v>
      </c>
    </row>
    <row r="65">
      <c r="A65" s="21">
        <v>59</v>
      </c>
      <c r="B65" t="s">
        <v>223</v>
      </c>
      <c r="E65" s="8">
        <v>-30</v>
      </c>
      <c r="F65" s="22"/>
      <c r="G65" t="s">
        <v>82</v>
      </c>
      <c r="H65" s="23"/>
      <c r="K65" s="24">
        <f>IF(Ausgaben[[#This Row],[Umfang '[€']]]&lt;=-500,0,1)</f>
        <v>1</v>
      </c>
      <c r="L65" s="24"/>
      <c r="N65" s="25"/>
      <c r="O65" s="25"/>
    </row>
    <row r="66">
      <c r="A66" s="21">
        <v>60</v>
      </c>
      <c r="B66" t="s">
        <v>224</v>
      </c>
      <c r="E66" s="8">
        <v>-1600</v>
      </c>
      <c r="F66" s="22"/>
      <c r="G66" t="s">
        <v>50</v>
      </c>
      <c r="H66" s="23"/>
      <c r="K66" s="24">
        <f>IF(Ausgaben[[#This Row],[Umfang '[€']]]&lt;=-500,0,1)</f>
        <v>0</v>
      </c>
      <c r="L66" s="24"/>
      <c r="N66" s="25"/>
      <c r="O66" s="25"/>
    </row>
    <row r="67">
      <c r="A67" s="21">
        <v>61</v>
      </c>
      <c r="B67" t="s">
        <v>225</v>
      </c>
      <c r="E67" s="8">
        <v>-250</v>
      </c>
      <c r="F67" s="22"/>
      <c r="G67" t="s">
        <v>82</v>
      </c>
      <c r="H67" s="23"/>
      <c r="K67" s="24">
        <f>IF(Ausgaben[[#This Row],[Umfang '[€']]]&lt;=-500,0,1)</f>
        <v>1</v>
      </c>
      <c r="L67" s="24"/>
      <c r="N67" s="25"/>
      <c r="O67" s="25"/>
      <c r="P67" s="23"/>
    </row>
    <row r="68">
      <c r="A68" s="21">
        <v>62</v>
      </c>
      <c r="B68" t="s">
        <v>226</v>
      </c>
      <c r="E68" s="8">
        <v>-200</v>
      </c>
      <c r="F68" s="22"/>
      <c r="G68" t="s">
        <v>50</v>
      </c>
      <c r="H68" s="23"/>
      <c r="K68" s="24">
        <f>IF(Ausgaben[[#This Row],[Umfang '[€']]]&lt;=-500,0,1)</f>
        <v>1</v>
      </c>
      <c r="L68" s="24"/>
      <c r="N68" s="25"/>
      <c r="O68" s="25"/>
      <c r="P68" s="23"/>
    </row>
    <row r="69">
      <c r="A69" s="21">
        <v>63</v>
      </c>
      <c r="B69" t="s">
        <v>227</v>
      </c>
      <c r="D69" t="s">
        <v>228</v>
      </c>
      <c r="E69" s="8">
        <v>-10</v>
      </c>
      <c r="F69" s="22"/>
      <c r="G69" t="s">
        <v>56</v>
      </c>
      <c r="H69" s="23"/>
      <c r="K69" s="24">
        <f>IF(Ausgaben[[#This Row],[Umfang '[€']]]&lt;=-500,0,1)</f>
        <v>1</v>
      </c>
      <c r="L69" s="24"/>
      <c r="N69" s="25"/>
      <c r="O69" s="25"/>
      <c r="P69" s="23"/>
    </row>
    <row r="70">
      <c r="A70" s="21">
        <v>66</v>
      </c>
      <c r="B70" t="s">
        <v>229</v>
      </c>
      <c r="E70" s="8">
        <v>0</v>
      </c>
      <c r="F70" s="22"/>
      <c r="G70" t="s">
        <v>75</v>
      </c>
      <c r="H70" s="23"/>
      <c r="K70" s="24">
        <f>IF(Ausgaben[[#This Row],[Umfang '[€']]]&lt;=-500,0,1)</f>
        <v>1</v>
      </c>
      <c r="L70" s="24"/>
      <c r="N70" s="25"/>
      <c r="O70" s="25"/>
    </row>
    <row r="71">
      <c r="A71" s="21">
        <v>70</v>
      </c>
      <c r="B71" t="s">
        <v>230</v>
      </c>
      <c r="E71" s="8">
        <v>-330</v>
      </c>
      <c r="F71" s="22"/>
      <c r="G71" t="s">
        <v>75</v>
      </c>
      <c r="H71" s="23"/>
      <c r="K71" s="24">
        <f>IF(Ausgaben[[#This Row],[Umfang '[€']]]&lt;=-500,0,1)</f>
        <v>1</v>
      </c>
      <c r="L71" s="24"/>
      <c r="N71" s="25"/>
      <c r="O71" s="25"/>
    </row>
    <row r="72">
      <c r="A72" s="21">
        <v>73</v>
      </c>
      <c r="B72" t="s">
        <v>231</v>
      </c>
      <c r="C72" t="s">
        <v>232</v>
      </c>
      <c r="E72" s="8">
        <v>-63.93</v>
      </c>
      <c r="F72" s="22"/>
      <c r="G72" s="30" t="s">
        <v>84</v>
      </c>
      <c r="H72" s="23">
        <v>45782</v>
      </c>
      <c r="I72" t="s">
        <v>122</v>
      </c>
      <c r="J72" t="s">
        <v>233</v>
      </c>
      <c r="K72" s="24">
        <f>IF(Ausgaben[[#This Row],[Umfang '[€']]]&lt;=-500,0,1)</f>
        <v>1</v>
      </c>
      <c r="L72" s="24"/>
      <c r="M72" s="29">
        <v>45782</v>
      </c>
      <c r="N72" s="25"/>
      <c r="O72" s="25" t="s">
        <v>234</v>
      </c>
      <c r="P72" t="s">
        <v>122</v>
      </c>
    </row>
    <row r="73">
      <c r="A73" s="21">
        <v>67</v>
      </c>
      <c r="B73" t="s">
        <v>235</v>
      </c>
      <c r="C73" t="s">
        <v>236</v>
      </c>
      <c r="E73" s="8">
        <v>-21.280000000000001</v>
      </c>
      <c r="F73" s="22"/>
      <c r="G73" t="s">
        <v>50</v>
      </c>
      <c r="H73" s="23">
        <v>45761</v>
      </c>
      <c r="I73" t="s">
        <v>122</v>
      </c>
      <c r="J73" t="s">
        <v>135</v>
      </c>
      <c r="K73" s="24">
        <f>IF(Ausgaben[[#This Row],[Umfang '[€']]]&lt;=-500,0,1)</f>
        <v>1</v>
      </c>
      <c r="L73" s="24"/>
      <c r="M73" s="29">
        <v>45761</v>
      </c>
      <c r="N73" s="25"/>
      <c r="O73" s="25" t="s">
        <v>145</v>
      </c>
      <c r="P73" t="s">
        <v>122</v>
      </c>
    </row>
    <row r="74">
      <c r="A74" s="21">
        <v>68</v>
      </c>
      <c r="B74" t="s">
        <v>235</v>
      </c>
      <c r="C74" t="s">
        <v>160</v>
      </c>
      <c r="E74" s="8">
        <v>-20.760000000000002</v>
      </c>
      <c r="F74" s="22"/>
      <c r="G74" s="30" t="s">
        <v>50</v>
      </c>
      <c r="H74" s="29">
        <v>45761</v>
      </c>
      <c r="I74" t="s">
        <v>122</v>
      </c>
      <c r="J74" t="s">
        <v>135</v>
      </c>
      <c r="K74" s="24">
        <f>IF(Ausgaben[[#This Row],[Umfang '[€']]]&lt;=-500,0,1)</f>
        <v>1</v>
      </c>
      <c r="L74" s="24"/>
      <c r="M74" s="29">
        <v>45761</v>
      </c>
      <c r="N74" s="25"/>
      <c r="O74" s="25" t="s">
        <v>145</v>
      </c>
      <c r="P74" s="23" t="s">
        <v>143</v>
      </c>
    </row>
    <row r="75">
      <c r="A75" s="21">
        <v>69</v>
      </c>
      <c r="B75" t="s">
        <v>235</v>
      </c>
      <c r="E75" s="8">
        <v>0</v>
      </c>
      <c r="F75" s="22"/>
      <c r="G75" s="30" t="s">
        <v>50</v>
      </c>
      <c r="H75" s="29">
        <v>45761</v>
      </c>
      <c r="I75" t="s">
        <v>122</v>
      </c>
      <c r="J75" t="s">
        <v>135</v>
      </c>
      <c r="K75" s="24">
        <f>IF(Ausgaben[[#This Row],[Umfang '[€']]]&lt;=-500,0,1)</f>
        <v>1</v>
      </c>
      <c r="L75" s="24"/>
      <c r="M75" s="29">
        <v>45761</v>
      </c>
      <c r="N75" s="25"/>
      <c r="O75" s="25"/>
      <c r="P75" s="23"/>
    </row>
    <row r="76">
      <c r="A76" s="21">
        <v>74</v>
      </c>
      <c r="B76" t="s">
        <v>237</v>
      </c>
      <c r="C76" t="s">
        <v>238</v>
      </c>
      <c r="E76" s="8">
        <v>-370</v>
      </c>
      <c r="F76" s="22"/>
      <c r="G76" s="30" t="s">
        <v>84</v>
      </c>
      <c r="H76" s="23"/>
      <c r="K76" s="24">
        <f>IF(Ausgaben[[#This Row],[Umfang '[€']]]&lt;=-500,0,1)</f>
        <v>1</v>
      </c>
      <c r="L76" s="24"/>
      <c r="N76" s="25"/>
      <c r="O76" s="25"/>
      <c r="P76" s="23"/>
    </row>
    <row r="77">
      <c r="A77" s="21">
        <v>71</v>
      </c>
      <c r="B77" t="s">
        <v>239</v>
      </c>
      <c r="E77" s="8">
        <v>-8.7300000000000004</v>
      </c>
      <c r="F77" s="22"/>
      <c r="G77" s="30" t="s">
        <v>70</v>
      </c>
      <c r="H77" s="23">
        <v>45771</v>
      </c>
      <c r="I77" t="s">
        <v>122</v>
      </c>
      <c r="J77" t="s">
        <v>162</v>
      </c>
      <c r="K77" s="24">
        <f>IF(Ausgaben[[#This Row],[Umfang '[€']]]&lt;=-500,0,1)</f>
        <v>1</v>
      </c>
      <c r="L77" s="24"/>
      <c r="M77" s="29">
        <v>45771</v>
      </c>
      <c r="N77" s="25"/>
      <c r="O77" s="25" t="s">
        <v>145</v>
      </c>
      <c r="P77" t="s">
        <v>122</v>
      </c>
    </row>
    <row r="78">
      <c r="A78" s="21">
        <v>72</v>
      </c>
      <c r="B78" t="s">
        <v>240</v>
      </c>
      <c r="C78" t="s">
        <v>241</v>
      </c>
      <c r="E78" s="8">
        <v>-480</v>
      </c>
      <c r="F78" s="22"/>
      <c r="G78" t="s">
        <v>44</v>
      </c>
      <c r="H78" s="23"/>
      <c r="K78" s="24">
        <f>IF(Ausgaben[[#This Row],[Umfang '[€']]]&lt;=-500,0,1)</f>
        <v>1</v>
      </c>
      <c r="L78" s="24"/>
      <c r="N78" s="25"/>
      <c r="O78" s="25"/>
    </row>
    <row r="79">
      <c r="A79" s="21">
        <v>35</v>
      </c>
      <c r="B79" t="s">
        <v>242</v>
      </c>
      <c r="C79" t="s">
        <v>243</v>
      </c>
      <c r="E79" s="8">
        <v>-1300</v>
      </c>
      <c r="F79" s="22"/>
      <c r="G79" t="s">
        <v>77</v>
      </c>
      <c r="H79" s="23"/>
      <c r="K79" s="24">
        <f>IF(Ausgaben[[#This Row],[Umfang '[€']]]&lt;=-500,0,1)</f>
        <v>0</v>
      </c>
      <c r="L79" s="24"/>
      <c r="M79" s="23"/>
      <c r="N79" s="25"/>
      <c r="O79" s="25"/>
      <c r="P79" s="23"/>
    </row>
    <row r="80">
      <c r="A80" s="21">
        <v>53</v>
      </c>
      <c r="B80" t="s">
        <v>244</v>
      </c>
      <c r="E80" s="8">
        <v>-350</v>
      </c>
      <c r="F80" s="22"/>
      <c r="G80" t="s">
        <v>77</v>
      </c>
      <c r="H80" s="23"/>
      <c r="K80" s="24">
        <f>IF(Ausgaben[[#This Row],[Umfang '[€']]]&lt;=-500,0,1)</f>
        <v>1</v>
      </c>
      <c r="L80" s="24"/>
      <c r="N80" s="25"/>
      <c r="O80" s="25"/>
      <c r="P80" s="23"/>
    </row>
    <row r="81">
      <c r="A81" s="21">
        <v>75</v>
      </c>
      <c r="B81" t="s">
        <v>245</v>
      </c>
      <c r="E81" s="8">
        <v>-120</v>
      </c>
      <c r="F81" s="22"/>
      <c r="G81" s="30" t="s">
        <v>77</v>
      </c>
      <c r="H81" s="23"/>
      <c r="K81" s="24">
        <f>IF(Ausgaben[[#This Row],[Umfang '[€']]]&lt;=-500,0,1)</f>
        <v>1</v>
      </c>
      <c r="L81" s="24"/>
      <c r="N81" s="25"/>
      <c r="O81" s="25"/>
    </row>
    <row r="82">
      <c r="A82" s="21">
        <v>76</v>
      </c>
      <c r="B82" t="s">
        <v>246</v>
      </c>
      <c r="E82" s="8">
        <v>-125</v>
      </c>
      <c r="F82" s="22"/>
      <c r="G82" s="30" t="s">
        <v>77</v>
      </c>
      <c r="H82" s="23"/>
      <c r="K82" s="24">
        <f>IF(Ausgaben[[#This Row],[Umfang '[€']]]&lt;=-500,0,1)</f>
        <v>1</v>
      </c>
      <c r="L82" s="24"/>
      <c r="N82" s="25"/>
      <c r="O82" s="25"/>
      <c r="P82" s="23"/>
    </row>
    <row r="83">
      <c r="A83" s="21">
        <v>77</v>
      </c>
      <c r="B83" t="s">
        <v>247</v>
      </c>
      <c r="E83" s="8">
        <v>-70</v>
      </c>
      <c r="F83" s="22"/>
      <c r="G83" s="30" t="s">
        <v>77</v>
      </c>
      <c r="H83" s="23"/>
      <c r="K83" s="24">
        <f>IF(Ausgaben[[#This Row],[Umfang '[€']]]&lt;=-500,0,1)</f>
        <v>1</v>
      </c>
      <c r="L83" s="24"/>
      <c r="N83" s="25"/>
      <c r="O83" s="25"/>
      <c r="P83" s="23"/>
    </row>
    <row r="84">
      <c r="A84" s="21">
        <v>78</v>
      </c>
      <c r="B84" t="s">
        <v>248</v>
      </c>
      <c r="E84" s="8">
        <v>-420</v>
      </c>
      <c r="F84" s="22"/>
      <c r="G84" s="30" t="s">
        <v>77</v>
      </c>
      <c r="H84" s="23"/>
      <c r="K84" s="24">
        <f>IF(Ausgaben[[#This Row],[Umfang '[€']]]&lt;=-500,0,1)</f>
        <v>1</v>
      </c>
      <c r="L84" s="24"/>
      <c r="N84" s="25"/>
      <c r="O84" s="25"/>
      <c r="P84" s="23"/>
    </row>
    <row r="85">
      <c r="A85" s="21">
        <v>79</v>
      </c>
      <c r="B85" t="s">
        <v>249</v>
      </c>
      <c r="D85" t="s">
        <v>250</v>
      </c>
      <c r="E85" s="8">
        <v>-30</v>
      </c>
      <c r="F85" s="22"/>
      <c r="G85" s="30" t="s">
        <v>44</v>
      </c>
      <c r="H85" s="23">
        <v>45782</v>
      </c>
      <c r="I85" t="s">
        <v>122</v>
      </c>
      <c r="J85" t="s">
        <v>123</v>
      </c>
      <c r="K85" s="24">
        <f>IF(Ausgaben[[#This Row],[Umfang '[€']]]&lt;=-500,0,1)</f>
        <v>1</v>
      </c>
      <c r="L85" s="24"/>
      <c r="M85" s="29"/>
      <c r="N85" s="25"/>
      <c r="O85" s="25"/>
      <c r="P85" s="23"/>
    </row>
    <row r="86">
      <c r="A86" s="21">
        <v>80</v>
      </c>
      <c r="B86" t="s">
        <v>251</v>
      </c>
      <c r="C86" t="s">
        <v>252</v>
      </c>
      <c r="D86" t="s">
        <v>253</v>
      </c>
      <c r="E86" s="8">
        <v>0</v>
      </c>
      <c r="F86" s="22"/>
      <c r="G86" t="s">
        <v>70</v>
      </c>
      <c r="H86" s="29">
        <v>45782</v>
      </c>
      <c r="I86" t="s">
        <v>122</v>
      </c>
      <c r="J86" t="s">
        <v>162</v>
      </c>
      <c r="K86" s="24">
        <f>IF(Ausgaben[[#This Row],[Umfang '[€']]]&lt;=-500,0,1)</f>
        <v>1</v>
      </c>
      <c r="L86" s="24"/>
      <c r="M86" s="29">
        <v>45782</v>
      </c>
      <c r="N86" s="25"/>
      <c r="O86" s="25" t="s">
        <v>145</v>
      </c>
      <c r="P86" t="s">
        <v>122</v>
      </c>
    </row>
    <row r="87">
      <c r="A87" s="21">
        <v>81</v>
      </c>
      <c r="B87" t="s">
        <v>254</v>
      </c>
      <c r="C87" t="s">
        <v>255</v>
      </c>
      <c r="E87" s="8">
        <v>-24.190000000000001</v>
      </c>
      <c r="F87" s="22"/>
      <c r="G87" t="s">
        <v>84</v>
      </c>
      <c r="H87" s="23">
        <v>45790</v>
      </c>
      <c r="I87" t="s">
        <v>143</v>
      </c>
      <c r="J87" t="s">
        <v>233</v>
      </c>
      <c r="K87" s="24">
        <f>IF(Ausgaben[[#This Row],[Umfang '[€']]]&lt;=-500,0,1)</f>
        <v>1</v>
      </c>
      <c r="L87" s="24"/>
      <c r="M87" s="29">
        <v>45786</v>
      </c>
      <c r="N87" s="25"/>
      <c r="O87" s="25"/>
      <c r="P87" s="23" t="s">
        <v>143</v>
      </c>
    </row>
    <row r="88">
      <c r="A88" s="21">
        <v>82</v>
      </c>
      <c r="B88" t="s">
        <v>256</v>
      </c>
      <c r="C88" t="s">
        <v>257</v>
      </c>
      <c r="E88" s="8">
        <v>0</v>
      </c>
      <c r="F88" s="22"/>
      <c r="G88" t="s">
        <v>77</v>
      </c>
      <c r="H88" s="23"/>
      <c r="K88" s="24">
        <f>IF(Ausgaben[[#This Row],[Umfang '[€']]]&lt;=-500,0,1)</f>
        <v>1</v>
      </c>
      <c r="L88" s="24"/>
      <c r="N88" s="25"/>
      <c r="O88" s="25"/>
      <c r="P88" s="23"/>
    </row>
    <row r="89">
      <c r="A89" s="21">
        <v>83</v>
      </c>
      <c r="B89" t="s">
        <v>258</v>
      </c>
      <c r="C89" t="s">
        <v>259</v>
      </c>
      <c r="E89" s="8">
        <v>-191.24000000000001</v>
      </c>
      <c r="F89" s="22"/>
      <c r="G89" t="s">
        <v>75</v>
      </c>
      <c r="H89" s="23">
        <v>45791</v>
      </c>
      <c r="I89" t="s">
        <v>122</v>
      </c>
      <c r="J89" t="s">
        <v>71</v>
      </c>
      <c r="K89" s="24">
        <f>IF(Ausgaben[[#This Row],[Umfang '[€']]]&lt;=-500,0,1)</f>
        <v>1</v>
      </c>
      <c r="L89" s="24" t="s">
        <v>145</v>
      </c>
      <c r="M89" s="29">
        <v>45791</v>
      </c>
      <c r="N89" s="25"/>
      <c r="O89" s="25"/>
      <c r="P89" t="s">
        <v>122</v>
      </c>
    </row>
    <row r="90">
      <c r="A90" s="21">
        <v>84</v>
      </c>
      <c r="B90" s="30" t="s">
        <v>260</v>
      </c>
      <c r="D90" t="s">
        <v>155</v>
      </c>
      <c r="E90" s="8">
        <v>-1190</v>
      </c>
      <c r="F90" s="22"/>
      <c r="G90" t="s">
        <v>32</v>
      </c>
      <c r="H90" s="23">
        <v>45791</v>
      </c>
      <c r="I90" t="s">
        <v>143</v>
      </c>
      <c r="J90" t="s">
        <v>31</v>
      </c>
      <c r="K90" s="24">
        <f>IF(Ausgaben[[#This Row],[Umfang '[€']]]&lt;=-500,0,1)</f>
        <v>0</v>
      </c>
      <c r="L90" s="24" t="s">
        <v>145</v>
      </c>
      <c r="N90" s="25"/>
      <c r="O90" s="25"/>
      <c r="P90" s="23"/>
    </row>
    <row r="91">
      <c r="A91" s="21">
        <v>85</v>
      </c>
      <c r="B91" s="30" t="s">
        <v>261</v>
      </c>
      <c r="D91" t="s">
        <v>155</v>
      </c>
      <c r="E91" s="8">
        <v>-500</v>
      </c>
      <c r="F91" s="22"/>
      <c r="G91" t="s">
        <v>32</v>
      </c>
      <c r="H91" s="23">
        <v>45791</v>
      </c>
      <c r="I91" t="s">
        <v>143</v>
      </c>
      <c r="J91" t="s">
        <v>31</v>
      </c>
      <c r="K91" s="24">
        <f>IF(Ausgaben[[#This Row],[Umfang '[€']]]&lt;=-500,0,1)</f>
        <v>0</v>
      </c>
      <c r="L91" s="24" t="s">
        <v>145</v>
      </c>
      <c r="N91" s="25"/>
      <c r="O91" s="25"/>
    </row>
    <row r="92">
      <c r="A92" s="21">
        <v>86</v>
      </c>
      <c r="B92" s="30" t="s">
        <v>262</v>
      </c>
      <c r="D92" t="s">
        <v>155</v>
      </c>
      <c r="E92" s="8">
        <v>-500</v>
      </c>
      <c r="F92" s="22"/>
      <c r="G92" t="s">
        <v>32</v>
      </c>
      <c r="H92" s="23">
        <v>45791</v>
      </c>
      <c r="I92" t="s">
        <v>143</v>
      </c>
      <c r="J92" t="s">
        <v>31</v>
      </c>
      <c r="K92" s="24">
        <f>IF(Ausgaben[[#This Row],[Umfang '[€']]]&lt;=-500,0,1)</f>
        <v>0</v>
      </c>
      <c r="L92" s="24" t="s">
        <v>145</v>
      </c>
      <c r="N92" s="25"/>
      <c r="O92" s="25"/>
    </row>
    <row r="93">
      <c r="A93" s="21">
        <v>87</v>
      </c>
      <c r="B93" s="30" t="s">
        <v>263</v>
      </c>
      <c r="D93" t="s">
        <v>155</v>
      </c>
      <c r="E93" s="8">
        <v>-2380</v>
      </c>
      <c r="F93" s="22"/>
      <c r="G93" t="s">
        <v>32</v>
      </c>
      <c r="H93" s="23">
        <v>45791</v>
      </c>
      <c r="I93" t="s">
        <v>143</v>
      </c>
      <c r="J93" t="s">
        <v>31</v>
      </c>
      <c r="K93" s="24">
        <f>IF(Ausgaben[[#This Row],[Umfang '[€']]]&lt;=-500,0,1)</f>
        <v>0</v>
      </c>
      <c r="L93" s="24" t="s">
        <v>145</v>
      </c>
      <c r="N93" s="25"/>
      <c r="O93" s="25"/>
    </row>
    <row r="94">
      <c r="A94" s="21">
        <v>88</v>
      </c>
      <c r="B94" s="30" t="s">
        <v>264</v>
      </c>
      <c r="D94" t="s">
        <v>155</v>
      </c>
      <c r="E94" s="8">
        <v>-1785</v>
      </c>
      <c r="F94" s="22"/>
      <c r="G94" t="s">
        <v>32</v>
      </c>
      <c r="H94" s="23">
        <v>45791</v>
      </c>
      <c r="I94" t="s">
        <v>143</v>
      </c>
      <c r="J94" t="s">
        <v>31</v>
      </c>
      <c r="K94" s="24">
        <f>IF(Ausgaben[[#This Row],[Umfang '[€']]]&lt;=-500,0,1)</f>
        <v>0</v>
      </c>
      <c r="L94" s="24" t="s">
        <v>145</v>
      </c>
      <c r="N94" s="25"/>
      <c r="O94" s="25"/>
      <c r="P94" s="23"/>
    </row>
    <row r="95">
      <c r="A95" s="21">
        <v>89</v>
      </c>
      <c r="B95" s="30" t="s">
        <v>265</v>
      </c>
      <c r="D95" t="s">
        <v>155</v>
      </c>
      <c r="E95" s="8">
        <v>-6000</v>
      </c>
      <c r="F95" s="22"/>
      <c r="G95" t="s">
        <v>32</v>
      </c>
      <c r="H95" s="23">
        <v>45791</v>
      </c>
      <c r="I95" t="s">
        <v>143</v>
      </c>
      <c r="J95" t="s">
        <v>31</v>
      </c>
      <c r="K95" s="24">
        <f>IF(Ausgaben[[#This Row],[Umfang '[€']]]&lt;=-500,0,1)</f>
        <v>0</v>
      </c>
      <c r="L95" s="24" t="s">
        <v>145</v>
      </c>
      <c r="N95" s="25"/>
      <c r="O95" s="25"/>
    </row>
    <row r="96">
      <c r="A96" s="21">
        <v>90</v>
      </c>
      <c r="B96" t="s">
        <v>266</v>
      </c>
      <c r="D96" t="s">
        <v>155</v>
      </c>
      <c r="E96" s="8">
        <v>-100</v>
      </c>
      <c r="F96" s="22"/>
      <c r="G96" t="s">
        <v>32</v>
      </c>
      <c r="H96" s="23">
        <v>45791</v>
      </c>
      <c r="I96" t="s">
        <v>143</v>
      </c>
      <c r="J96" t="s">
        <v>31</v>
      </c>
      <c r="K96" s="24">
        <f>IF(Ausgaben[[#This Row],[Umfang '[€']]]&lt;=-500,0,1)</f>
        <v>1</v>
      </c>
      <c r="L96" s="24" t="s">
        <v>145</v>
      </c>
      <c r="N96" s="25"/>
      <c r="O96" s="25"/>
      <c r="P96" s="23"/>
    </row>
    <row r="97">
      <c r="A97" s="21">
        <v>91</v>
      </c>
      <c r="B97" t="s">
        <v>267</v>
      </c>
      <c r="D97" t="s">
        <v>155</v>
      </c>
      <c r="E97" s="8">
        <v>-100</v>
      </c>
      <c r="F97" s="22"/>
      <c r="G97" t="s">
        <v>32</v>
      </c>
      <c r="H97" s="23">
        <v>45791</v>
      </c>
      <c r="I97" t="s">
        <v>143</v>
      </c>
      <c r="J97" t="s">
        <v>31</v>
      </c>
      <c r="K97" s="24">
        <f>IF(Ausgaben[[#This Row],[Umfang '[€']]]&lt;=-500,0,1)</f>
        <v>1</v>
      </c>
      <c r="L97" s="24" t="s">
        <v>145</v>
      </c>
      <c r="N97" s="25"/>
      <c r="O97" s="25"/>
    </row>
    <row r="98">
      <c r="A98" s="21">
        <v>92</v>
      </c>
      <c r="B98" t="s">
        <v>268</v>
      </c>
      <c r="D98" t="s">
        <v>155</v>
      </c>
      <c r="E98" s="8">
        <v>-400</v>
      </c>
      <c r="F98" s="22"/>
      <c r="G98" t="s">
        <v>32</v>
      </c>
      <c r="H98" s="23">
        <v>45791</v>
      </c>
      <c r="I98" t="s">
        <v>143</v>
      </c>
      <c r="J98" t="s">
        <v>31</v>
      </c>
      <c r="K98" s="24">
        <f>IF(Ausgaben[[#This Row],[Umfang '[€']]]&lt;=-500,0,1)</f>
        <v>1</v>
      </c>
      <c r="L98" s="24" t="s">
        <v>145</v>
      </c>
      <c r="N98" s="25"/>
      <c r="O98" s="25"/>
    </row>
    <row r="99">
      <c r="A99" s="21">
        <v>93</v>
      </c>
      <c r="B99" s="30" t="s">
        <v>269</v>
      </c>
      <c r="D99" t="s">
        <v>155</v>
      </c>
      <c r="E99" s="8">
        <v>-75</v>
      </c>
      <c r="F99" s="22"/>
      <c r="G99" t="s">
        <v>32</v>
      </c>
      <c r="H99" s="23">
        <v>45791</v>
      </c>
      <c r="I99" t="s">
        <v>143</v>
      </c>
      <c r="J99" t="s">
        <v>31</v>
      </c>
      <c r="K99" s="24">
        <f>IF(Ausgaben[[#This Row],[Umfang '[€']]]&lt;=-500,0,1)</f>
        <v>1</v>
      </c>
      <c r="L99" s="24" t="s">
        <v>145</v>
      </c>
      <c r="N99" s="25"/>
      <c r="O99" s="25"/>
    </row>
    <row r="100">
      <c r="A100" s="21">
        <v>94</v>
      </c>
      <c r="B100" s="30" t="s">
        <v>270</v>
      </c>
      <c r="D100" t="s">
        <v>155</v>
      </c>
      <c r="E100" s="8">
        <v>-75</v>
      </c>
      <c r="F100" s="22"/>
      <c r="G100" t="s">
        <v>32</v>
      </c>
      <c r="H100" s="23">
        <v>45791</v>
      </c>
      <c r="I100" t="s">
        <v>143</v>
      </c>
      <c r="J100" t="s">
        <v>31</v>
      </c>
      <c r="K100" s="24">
        <f>IF(Ausgaben[[#This Row],[Umfang '[€']]]&lt;=-500,0,1)</f>
        <v>1</v>
      </c>
      <c r="L100" s="24" t="s">
        <v>145</v>
      </c>
      <c r="N100" s="25"/>
      <c r="O100" s="25"/>
      <c r="P100" s="23"/>
    </row>
    <row r="101">
      <c r="A101" s="21">
        <v>95</v>
      </c>
      <c r="B101" s="30" t="s">
        <v>271</v>
      </c>
      <c r="D101" t="s">
        <v>155</v>
      </c>
      <c r="E101" s="8">
        <v>-75</v>
      </c>
      <c r="F101" s="22"/>
      <c r="G101" s="30" t="s">
        <v>32</v>
      </c>
      <c r="H101" s="23">
        <v>45791</v>
      </c>
      <c r="I101" t="s">
        <v>143</v>
      </c>
      <c r="J101" t="s">
        <v>31</v>
      </c>
      <c r="K101" s="24">
        <f>IF(Ausgaben[[#This Row],[Umfang '[€']]]&lt;=-500,0,1)</f>
        <v>1</v>
      </c>
      <c r="L101" s="24" t="s">
        <v>124</v>
      </c>
      <c r="N101" s="25"/>
      <c r="O101" s="25"/>
      <c r="P101" s="23"/>
    </row>
    <row r="102">
      <c r="A102" s="21">
        <v>96</v>
      </c>
      <c r="B102" s="30" t="s">
        <v>272</v>
      </c>
      <c r="D102" t="s">
        <v>155</v>
      </c>
      <c r="E102" s="8">
        <v>-800</v>
      </c>
      <c r="F102" s="22"/>
      <c r="G102" s="30" t="s">
        <v>32</v>
      </c>
      <c r="H102" s="23">
        <v>45791</v>
      </c>
      <c r="I102" t="s">
        <v>143</v>
      </c>
      <c r="J102" t="s">
        <v>31</v>
      </c>
      <c r="K102" s="24">
        <f>IF(Ausgaben[[#This Row],[Umfang '[€']]]&lt;=-500,0,1)</f>
        <v>0</v>
      </c>
      <c r="L102" s="24" t="s">
        <v>124</v>
      </c>
      <c r="N102" s="25"/>
      <c r="O102" s="25"/>
      <c r="P102" s="23"/>
    </row>
    <row r="103">
      <c r="A103" s="21">
        <v>97</v>
      </c>
      <c r="B103" s="30" t="s">
        <v>273</v>
      </c>
      <c r="D103" t="s">
        <v>155</v>
      </c>
      <c r="E103" s="8">
        <v>-600</v>
      </c>
      <c r="F103" s="22"/>
      <c r="G103" t="s">
        <v>32</v>
      </c>
      <c r="H103" s="23">
        <v>45791</v>
      </c>
      <c r="I103" t="s">
        <v>143</v>
      </c>
      <c r="J103" t="s">
        <v>31</v>
      </c>
      <c r="K103" s="24">
        <f>IF(Ausgaben[[#This Row],[Umfang '[€']]]&lt;=-500,0,1)</f>
        <v>0</v>
      </c>
      <c r="L103" s="24" t="s">
        <v>124</v>
      </c>
      <c r="N103" s="25"/>
      <c r="O103" s="25"/>
      <c r="P103" s="23"/>
    </row>
    <row r="104">
      <c r="A104" s="21">
        <v>98</v>
      </c>
      <c r="B104" s="30" t="s">
        <v>274</v>
      </c>
      <c r="D104" t="s">
        <v>155</v>
      </c>
      <c r="E104" s="8">
        <v>0</v>
      </c>
      <c r="F104" s="22"/>
      <c r="G104" t="s">
        <v>32</v>
      </c>
      <c r="H104" s="23">
        <v>45791</v>
      </c>
      <c r="I104" t="s">
        <v>143</v>
      </c>
      <c r="J104" t="s">
        <v>31</v>
      </c>
      <c r="K104" s="24">
        <f>IF(Ausgaben[[#This Row],[Umfang '[€']]]&lt;=-500,0,1)</f>
        <v>1</v>
      </c>
      <c r="L104" s="24" t="s">
        <v>124</v>
      </c>
      <c r="N104" s="25"/>
      <c r="O104" s="25"/>
      <c r="P104" s="23"/>
    </row>
    <row r="105">
      <c r="A105" s="21">
        <v>99</v>
      </c>
      <c r="B105" t="s">
        <v>275</v>
      </c>
      <c r="C105" t="s">
        <v>252</v>
      </c>
      <c r="E105" s="8">
        <v>-296</v>
      </c>
      <c r="F105" s="22"/>
      <c r="G105" t="s">
        <v>82</v>
      </c>
      <c r="H105" s="23">
        <v>45791</v>
      </c>
      <c r="I105" t="s">
        <v>122</v>
      </c>
      <c r="J105" t="s">
        <v>123</v>
      </c>
      <c r="K105" s="24">
        <f>IF(Ausgaben[[#This Row],[Umfang '[€']]]&lt;=-500,0,1)</f>
        <v>1</v>
      </c>
      <c r="L105" s="24" t="s">
        <v>124</v>
      </c>
      <c r="N105" s="25"/>
      <c r="O105" s="25"/>
      <c r="P105" t="s">
        <v>122</v>
      </c>
    </row>
    <row r="106">
      <c r="A106" s="21">
        <v>100</v>
      </c>
      <c r="B106" t="s">
        <v>276</v>
      </c>
      <c r="C106" t="s">
        <v>277</v>
      </c>
      <c r="E106" s="8">
        <v>-49.75</v>
      </c>
      <c r="F106" s="22"/>
      <c r="G106" t="s">
        <v>75</v>
      </c>
      <c r="H106" s="23">
        <v>45792</v>
      </c>
      <c r="I106" t="s">
        <v>122</v>
      </c>
      <c r="J106" t="s">
        <v>71</v>
      </c>
      <c r="K106" s="24">
        <f>IF(Ausgaben[[#This Row],[Umfang '[€']]]&lt;=-500,0,1)</f>
        <v>1</v>
      </c>
      <c r="L106" s="24" t="s">
        <v>124</v>
      </c>
      <c r="N106" s="25"/>
      <c r="O106" s="25" t="s">
        <v>145</v>
      </c>
      <c r="P106" t="s">
        <v>122</v>
      </c>
    </row>
    <row r="107">
      <c r="A107" s="21">
        <v>101</v>
      </c>
      <c r="B107" t="s">
        <v>278</v>
      </c>
      <c r="C107" t="s">
        <v>279</v>
      </c>
      <c r="D107" t="s">
        <v>280</v>
      </c>
      <c r="E107" s="8">
        <v>-30.859999999999999</v>
      </c>
      <c r="F107" s="22"/>
      <c r="G107" t="s">
        <v>84</v>
      </c>
      <c r="H107" s="23">
        <v>45795</v>
      </c>
      <c r="I107" t="s">
        <v>122</v>
      </c>
      <c r="J107" t="s">
        <v>233</v>
      </c>
      <c r="K107" s="24">
        <f>IF(Ausgaben[[#This Row],[Umfang '[€']]]&lt;=-500,0,1)</f>
        <v>1</v>
      </c>
      <c r="L107" s="24" t="s">
        <v>124</v>
      </c>
      <c r="N107" s="25"/>
      <c r="O107" s="25" t="s">
        <v>145</v>
      </c>
      <c r="P107" s="23">
        <v>45795</v>
      </c>
    </row>
    <row r="108">
      <c r="A108" s="21">
        <v>102</v>
      </c>
      <c r="B108" t="s">
        <v>281</v>
      </c>
      <c r="C108" t="s">
        <v>282</v>
      </c>
      <c r="D108" t="s">
        <v>280</v>
      </c>
      <c r="E108" s="8">
        <v>-40.890000000000001</v>
      </c>
      <c r="F108" s="22"/>
      <c r="G108" t="s">
        <v>84</v>
      </c>
      <c r="H108" s="29">
        <v>45795</v>
      </c>
      <c r="I108" t="s">
        <v>122</v>
      </c>
      <c r="J108" t="s">
        <v>233</v>
      </c>
      <c r="K108" s="24">
        <f>IF(Ausgaben[[#This Row],[Umfang '[€']]]&lt;=-500,0,1)</f>
        <v>1</v>
      </c>
      <c r="L108" s="24" t="s">
        <v>124</v>
      </c>
      <c r="N108" s="25"/>
      <c r="O108" s="25" t="s">
        <v>145</v>
      </c>
      <c r="P108" s="29">
        <v>45795</v>
      </c>
    </row>
    <row r="109">
      <c r="A109" s="21">
        <v>103</v>
      </c>
      <c r="B109" t="s">
        <v>283</v>
      </c>
      <c r="C109" t="s">
        <v>284</v>
      </c>
      <c r="E109" s="8">
        <v>-480</v>
      </c>
      <c r="F109" s="22"/>
      <c r="G109" t="s">
        <v>48</v>
      </c>
      <c r="H109" s="23">
        <v>45796</v>
      </c>
      <c r="I109" t="s">
        <v>122</v>
      </c>
      <c r="J109" t="s">
        <v>71</v>
      </c>
      <c r="K109" s="24">
        <f>IF(Ausgaben[[#This Row],[Umfang '[€']]]&lt;=-500,0,1)</f>
        <v>1</v>
      </c>
      <c r="L109" s="24" t="s">
        <v>124</v>
      </c>
      <c r="N109" s="25"/>
      <c r="O109" s="25" t="s">
        <v>145</v>
      </c>
      <c r="P109" s="29">
        <v>45796</v>
      </c>
    </row>
    <row r="110">
      <c r="A110" s="21">
        <v>104</v>
      </c>
      <c r="B110" t="s">
        <v>285</v>
      </c>
      <c r="C110" t="s">
        <v>286</v>
      </c>
      <c r="E110" s="8">
        <v>-1000</v>
      </c>
      <c r="F110" s="22"/>
      <c r="G110" t="s">
        <v>50</v>
      </c>
      <c r="H110" s="23"/>
      <c r="K110" s="24">
        <f>IF(Ausgaben[[#This Row],[Umfang '[€']]]&lt;=-500,0,1)</f>
        <v>0</v>
      </c>
      <c r="L110" s="24"/>
      <c r="N110" s="25"/>
      <c r="O110" s="25"/>
    </row>
    <row r="111">
      <c r="A111" s="21">
        <v>105</v>
      </c>
      <c r="B111" t="s">
        <v>287</v>
      </c>
      <c r="E111" s="8">
        <v>-40</v>
      </c>
      <c r="F111" s="22"/>
      <c r="G111" t="s">
        <v>86</v>
      </c>
      <c r="H111" s="23">
        <v>45796</v>
      </c>
      <c r="I111" t="s">
        <v>122</v>
      </c>
      <c r="J111" t="s">
        <v>123</v>
      </c>
      <c r="K111" s="24">
        <f>IF(Ausgaben[[#This Row],[Umfang '[€']]]&lt;=-500,0,1)</f>
        <v>1</v>
      </c>
      <c r="L111" s="24"/>
      <c r="N111" s="25"/>
      <c r="O111" s="25"/>
    </row>
    <row r="112">
      <c r="A112" s="21">
        <v>106</v>
      </c>
      <c r="E112" s="8">
        <v>0</v>
      </c>
      <c r="F112" s="22"/>
      <c r="H112" s="23"/>
      <c r="K112" s="24">
        <f>IF(Ausgaben[[#This Row],[Umfang '[€']]]&lt;=-500,0,1)</f>
        <v>1</v>
      </c>
      <c r="L112" s="24"/>
      <c r="N112" s="25"/>
      <c r="O112" s="25"/>
    </row>
    <row r="113">
      <c r="A113" s="21">
        <v>107</v>
      </c>
      <c r="E113" s="8">
        <v>0</v>
      </c>
      <c r="F113" s="22"/>
      <c r="H113" s="23"/>
      <c r="K113" s="24">
        <f>IF(Ausgaben[[#This Row],[Umfang '[€']]]&lt;=-500,0,1)</f>
        <v>1</v>
      </c>
      <c r="L113" s="24"/>
      <c r="N113" s="25"/>
      <c r="O113" s="25"/>
    </row>
    <row r="114">
      <c r="A114" s="21">
        <v>108</v>
      </c>
      <c r="E114" s="8">
        <v>0</v>
      </c>
      <c r="F114" s="22"/>
      <c r="H114" s="23"/>
      <c r="K114" s="24">
        <f>IF(Ausgaben[[#This Row],[Umfang '[€']]]&lt;=-500,0,1)</f>
        <v>1</v>
      </c>
      <c r="L114" s="24"/>
      <c r="N114" s="25"/>
      <c r="O114" s="25"/>
    </row>
    <row r="115">
      <c r="A115" s="21">
        <v>109</v>
      </c>
      <c r="E115" s="8">
        <v>0</v>
      </c>
      <c r="F115" s="22"/>
      <c r="H115" s="23"/>
      <c r="K115" s="24">
        <f>IF(Ausgaben[[#This Row],[Umfang '[€']]]&lt;=-500,0,1)</f>
        <v>1</v>
      </c>
      <c r="L115" s="24"/>
      <c r="M115" s="23"/>
      <c r="N115" s="25"/>
      <c r="O115" s="25"/>
    </row>
    <row r="116">
      <c r="A116" s="21">
        <v>110</v>
      </c>
      <c r="E116" s="8">
        <v>0</v>
      </c>
      <c r="F116" s="22"/>
      <c r="H116" s="23"/>
      <c r="K116" s="24">
        <f>IF(Ausgaben[[#This Row],[Umfang '[€']]]&lt;=-500,0,1)</f>
        <v>1</v>
      </c>
      <c r="L116" s="24"/>
      <c r="N116" s="25"/>
      <c r="O116" s="25"/>
    </row>
    <row r="117">
      <c r="A117" s="21">
        <v>111</v>
      </c>
      <c r="E117" s="8">
        <v>0</v>
      </c>
      <c r="F117" s="22"/>
      <c r="H117" s="23"/>
      <c r="K117" s="24">
        <f>IF(Ausgaben[[#This Row],[Umfang '[€']]]&lt;=-500,0,1)</f>
        <v>1</v>
      </c>
      <c r="L117" s="24"/>
      <c r="M117" s="23"/>
      <c r="N117" s="25"/>
      <c r="O117" s="25"/>
      <c r="P117" s="23"/>
    </row>
    <row r="118">
      <c r="A118" s="21">
        <v>112</v>
      </c>
      <c r="E118" s="8">
        <v>0</v>
      </c>
      <c r="F118" s="22"/>
      <c r="H118" s="23"/>
      <c r="K118" s="24">
        <f>IF(Ausgaben[[#This Row],[Umfang '[€']]]&lt;=-500,0,1)</f>
        <v>1</v>
      </c>
      <c r="L118" s="24"/>
      <c r="N118" s="25"/>
      <c r="O118" s="25"/>
      <c r="P118" s="23"/>
    </row>
    <row r="119">
      <c r="A119" s="21">
        <v>113</v>
      </c>
      <c r="E119" s="8">
        <v>0</v>
      </c>
      <c r="F119" s="22"/>
      <c r="H119" s="23"/>
      <c r="K119" s="24">
        <f>IF(Ausgaben[[#This Row],[Umfang '[€']]]&lt;=-500,0,1)</f>
        <v>1</v>
      </c>
      <c r="L119" s="24"/>
      <c r="M119" s="23"/>
      <c r="N119" s="25"/>
      <c r="O119" s="25"/>
      <c r="P119" s="23"/>
    </row>
    <row r="120">
      <c r="A120" s="21">
        <v>114</v>
      </c>
      <c r="E120" s="8">
        <v>0</v>
      </c>
      <c r="F120" s="22"/>
      <c r="H120" s="23"/>
      <c r="K120" s="24">
        <f>IF(Ausgaben[[#This Row],[Umfang '[€']]]&lt;=-500,0,1)</f>
        <v>1</v>
      </c>
      <c r="L120" s="24"/>
      <c r="M120" s="23"/>
      <c r="N120" s="25"/>
      <c r="O120" s="25"/>
      <c r="P120" s="23"/>
    </row>
    <row r="121">
      <c r="A121" s="21">
        <v>115</v>
      </c>
      <c r="E121" s="8">
        <v>0</v>
      </c>
      <c r="F121" s="22"/>
      <c r="H121" s="23"/>
      <c r="K121" s="24">
        <f>IF(Ausgaben[[#This Row],[Umfang '[€']]]&lt;=-500,0,1)</f>
        <v>1</v>
      </c>
      <c r="L121" s="24"/>
      <c r="M121" s="23"/>
      <c r="N121" s="25"/>
      <c r="O121" s="25"/>
    </row>
    <row r="122">
      <c r="A122" s="21">
        <v>116</v>
      </c>
      <c r="E122" s="8">
        <v>0</v>
      </c>
      <c r="F122" s="22"/>
      <c r="H122" s="23"/>
      <c r="K122" s="24">
        <f>IF(Ausgaben[[#This Row],[Umfang '[€']]]&lt;=-500,0,1)</f>
        <v>1</v>
      </c>
      <c r="L122" s="24"/>
      <c r="M122" s="23"/>
      <c r="N122" s="25"/>
      <c r="O122" s="25"/>
    </row>
    <row r="123">
      <c r="A123" s="21">
        <v>117</v>
      </c>
      <c r="E123" s="8">
        <v>0</v>
      </c>
      <c r="F123" s="22"/>
      <c r="H123" s="23"/>
      <c r="K123" s="24">
        <f>IF(Ausgaben[[#This Row],[Umfang '[€']]]&lt;=-500,0,1)</f>
        <v>1</v>
      </c>
      <c r="L123" s="24"/>
      <c r="M123" s="23"/>
      <c r="N123" s="25"/>
      <c r="O123" s="25"/>
    </row>
    <row r="124">
      <c r="A124" s="21">
        <v>118</v>
      </c>
      <c r="E124" s="8">
        <v>0</v>
      </c>
      <c r="F124" s="22"/>
      <c r="H124" s="23"/>
      <c r="K124" s="24">
        <f>IF(Ausgaben[[#This Row],[Umfang '[€']]]&lt;=-500,0,1)</f>
        <v>1</v>
      </c>
      <c r="L124" s="24"/>
      <c r="M124" s="23"/>
      <c r="N124" s="25"/>
      <c r="O124" s="25"/>
    </row>
    <row r="125">
      <c r="A125" s="21">
        <v>119</v>
      </c>
      <c r="E125" s="8">
        <v>0</v>
      </c>
      <c r="F125" s="22"/>
      <c r="H125" s="23"/>
      <c r="K125" s="24">
        <f>IF(Ausgaben[[#This Row],[Umfang '[€']]]&lt;=-500,0,1)</f>
        <v>1</v>
      </c>
      <c r="L125" s="24"/>
      <c r="M125" s="23"/>
      <c r="N125" s="25"/>
      <c r="O125" s="25"/>
      <c r="P125" s="23"/>
    </row>
    <row r="126">
      <c r="A126" s="21">
        <v>120</v>
      </c>
      <c r="E126" s="8">
        <v>0</v>
      </c>
      <c r="F126" s="22"/>
      <c r="H126" s="23"/>
      <c r="K126" s="24">
        <f>IF(Ausgaben[[#This Row],[Umfang '[€']]]&lt;=-500,0,1)</f>
        <v>1</v>
      </c>
      <c r="L126" s="24"/>
      <c r="N126" s="25"/>
      <c r="O126" s="25"/>
    </row>
    <row r="127">
      <c r="A127" s="21">
        <v>121</v>
      </c>
      <c r="E127" s="8">
        <v>0</v>
      </c>
      <c r="F127" s="22"/>
      <c r="H127" s="23"/>
      <c r="K127" s="24">
        <f>IF(Ausgaben[[#This Row],[Umfang '[€']]]&lt;=-500,0,1)</f>
        <v>1</v>
      </c>
      <c r="L127" s="24"/>
      <c r="N127" s="25"/>
      <c r="O127" s="25"/>
    </row>
    <row r="128">
      <c r="A128" s="21">
        <v>122</v>
      </c>
      <c r="E128" s="8">
        <v>0</v>
      </c>
      <c r="F128" s="22"/>
      <c r="H128" s="23"/>
      <c r="K128" s="24">
        <f>IF(Ausgaben[[#This Row],[Umfang '[€']]]&lt;=-500,0,1)</f>
        <v>1</v>
      </c>
      <c r="L128" s="24"/>
      <c r="N128" s="25"/>
      <c r="O128" s="25"/>
    </row>
    <row r="129">
      <c r="A129" s="21">
        <v>123</v>
      </c>
      <c r="E129" s="8">
        <v>0</v>
      </c>
      <c r="F129" s="22"/>
      <c r="H129" s="23"/>
      <c r="K129" s="24">
        <f>IF(Ausgaben[[#This Row],[Umfang '[€']]]&lt;=-500,0,1)</f>
        <v>1</v>
      </c>
      <c r="L129" s="24"/>
      <c r="N129" s="25"/>
      <c r="O129" s="25"/>
    </row>
    <row r="130">
      <c r="A130" s="21">
        <v>124</v>
      </c>
      <c r="E130" s="8">
        <v>0</v>
      </c>
      <c r="F130" s="22"/>
      <c r="H130" s="23"/>
      <c r="K130" s="24">
        <f>IF(Ausgaben[[#This Row],[Umfang '[€']]]&lt;=-500,0,1)</f>
        <v>1</v>
      </c>
      <c r="L130" s="24"/>
      <c r="N130" s="25"/>
      <c r="O130" s="25"/>
    </row>
    <row r="131">
      <c r="A131" s="21">
        <v>125</v>
      </c>
      <c r="E131" s="8">
        <v>0</v>
      </c>
      <c r="F131" s="22"/>
      <c r="H131" s="23"/>
      <c r="K131" s="24">
        <f>IF(Ausgaben[[#This Row],[Umfang '[€']]]&lt;=-500,0,1)</f>
        <v>1</v>
      </c>
      <c r="L131" s="24"/>
      <c r="M131" s="23"/>
      <c r="N131" s="25"/>
      <c r="O131" s="25"/>
      <c r="P131" s="23"/>
    </row>
    <row r="132">
      <c r="A132" s="21">
        <v>126</v>
      </c>
      <c r="E132" s="8">
        <v>0</v>
      </c>
      <c r="F132" s="22"/>
      <c r="H132" s="23"/>
      <c r="K132" s="24">
        <f>IF(Ausgaben[[#This Row],[Umfang '[€']]]&lt;=-500,0,1)</f>
        <v>1</v>
      </c>
      <c r="L132" s="24"/>
      <c r="M132" s="23"/>
      <c r="N132" s="25"/>
      <c r="O132" s="25"/>
      <c r="P132" s="23"/>
    </row>
    <row r="133">
      <c r="A133" s="21">
        <v>127</v>
      </c>
      <c r="E133" s="8">
        <v>0</v>
      </c>
      <c r="F133" s="22"/>
      <c r="H133" s="23"/>
      <c r="K133" s="24">
        <f>IF(Ausgaben[[#This Row],[Umfang '[€']]]&lt;=-500,0,1)</f>
        <v>1</v>
      </c>
      <c r="L133" s="24"/>
      <c r="M133" s="23"/>
      <c r="N133" s="25"/>
      <c r="O133" s="25"/>
      <c r="P133" s="23"/>
    </row>
    <row r="134">
      <c r="A134" s="21">
        <v>128</v>
      </c>
      <c r="E134" s="8">
        <v>0</v>
      </c>
      <c r="F134" s="22"/>
      <c r="H134" s="23"/>
      <c r="K134" s="24">
        <f>IF(Ausgaben[[#This Row],[Umfang '[€']]]&lt;=-500,0,1)</f>
        <v>1</v>
      </c>
      <c r="L134" s="24"/>
      <c r="N134" s="25"/>
      <c r="O134" s="25"/>
    </row>
    <row r="135">
      <c r="A135" s="21">
        <v>129</v>
      </c>
      <c r="E135" s="8">
        <v>0</v>
      </c>
      <c r="F135" s="22"/>
      <c r="H135" s="23"/>
      <c r="K135" s="24">
        <f>IF(Ausgaben[[#This Row],[Umfang '[€']]]&lt;=-500,0,1)</f>
        <v>1</v>
      </c>
      <c r="L135" s="24"/>
      <c r="M135" s="23"/>
      <c r="N135" s="25"/>
      <c r="O135" s="25"/>
      <c r="P135" s="23"/>
    </row>
    <row r="136">
      <c r="A136" s="21">
        <v>130</v>
      </c>
      <c r="E136" s="8">
        <v>0</v>
      </c>
      <c r="F136" s="22"/>
      <c r="H136" s="23"/>
      <c r="K136" s="24">
        <f>IF(Ausgaben[[#This Row],[Umfang '[€']]]&lt;=-500,0,1)</f>
        <v>1</v>
      </c>
      <c r="L136" s="24"/>
      <c r="M136" s="23"/>
      <c r="N136" s="25"/>
      <c r="O136" s="25"/>
      <c r="P136" s="23"/>
    </row>
    <row r="137">
      <c r="A137" s="21">
        <v>131</v>
      </c>
      <c r="E137" s="8">
        <v>0</v>
      </c>
      <c r="F137" s="22"/>
      <c r="H137" s="23"/>
      <c r="K137" s="24">
        <f>IF(Ausgaben[[#This Row],[Umfang '[€']]]&lt;=-500,0,1)</f>
        <v>1</v>
      </c>
      <c r="L137" s="24"/>
      <c r="M137" s="23"/>
      <c r="N137" s="25"/>
      <c r="O137" s="25"/>
      <c r="P137" s="23"/>
    </row>
    <row r="138">
      <c r="A138" s="21">
        <v>132</v>
      </c>
      <c r="E138" s="8">
        <v>0</v>
      </c>
      <c r="F138" s="22"/>
      <c r="H138" s="23"/>
      <c r="K138" s="24">
        <f>IF(Ausgaben[[#This Row],[Umfang '[€']]]&lt;=-500,0,1)</f>
        <v>1</v>
      </c>
      <c r="L138" s="24"/>
      <c r="M138" s="23"/>
      <c r="N138" s="25"/>
      <c r="O138" s="25"/>
      <c r="P138" s="23"/>
    </row>
    <row r="139">
      <c r="A139" s="21">
        <v>133</v>
      </c>
      <c r="E139" s="8">
        <v>0</v>
      </c>
      <c r="F139" s="22"/>
      <c r="H139" s="23"/>
      <c r="K139" s="24">
        <f>IF(Ausgaben[[#This Row],[Umfang '[€']]]&lt;=-500,0,1)</f>
        <v>1</v>
      </c>
      <c r="L139" s="24"/>
      <c r="N139" s="25"/>
      <c r="O139" s="25"/>
    </row>
    <row r="140">
      <c r="A140" s="21">
        <v>134</v>
      </c>
      <c r="E140" s="8">
        <v>0</v>
      </c>
      <c r="F140" s="22"/>
      <c r="H140" s="23"/>
      <c r="K140" s="24">
        <f>IF(Ausgaben[[#This Row],[Umfang '[€']]]&lt;=-500,0,1)</f>
        <v>1</v>
      </c>
      <c r="L140" s="24"/>
      <c r="N140" s="25"/>
      <c r="O140" s="25"/>
    </row>
    <row r="141">
      <c r="A141" s="21">
        <v>135</v>
      </c>
      <c r="E141" s="8">
        <v>0</v>
      </c>
      <c r="F141" s="22"/>
      <c r="H141" s="23"/>
      <c r="K141" s="24">
        <f>IF(Ausgaben[[#This Row],[Umfang '[€']]]&lt;=-500,0,1)</f>
        <v>1</v>
      </c>
      <c r="L141" s="24"/>
      <c r="N141" s="25"/>
      <c r="O141" s="25"/>
    </row>
    <row r="142">
      <c r="A142" s="21">
        <v>136</v>
      </c>
      <c r="E142" s="8">
        <v>0</v>
      </c>
      <c r="F142" s="22"/>
      <c r="H142" s="23"/>
      <c r="K142" s="24">
        <f>IF(Ausgaben[[#This Row],[Umfang '[€']]]&lt;=-500,0,1)</f>
        <v>1</v>
      </c>
      <c r="L142" s="24"/>
      <c r="N142" s="25"/>
      <c r="O142" s="25"/>
    </row>
    <row r="143">
      <c r="A143" s="21">
        <v>137</v>
      </c>
      <c r="E143" s="8">
        <v>0</v>
      </c>
      <c r="F143" s="22"/>
      <c r="H143" s="23"/>
      <c r="K143" s="24">
        <f>IF(Ausgaben[[#This Row],[Umfang '[€']]]&lt;=-500,0,1)</f>
        <v>1</v>
      </c>
      <c r="L143" s="24"/>
      <c r="N143" s="25"/>
      <c r="O143" s="25"/>
    </row>
    <row r="144">
      <c r="A144" s="21">
        <v>138</v>
      </c>
      <c r="E144" s="8">
        <v>0</v>
      </c>
      <c r="F144" s="22"/>
      <c r="H144" s="23"/>
      <c r="K144" s="24">
        <f>IF(Ausgaben[[#This Row],[Umfang '[€']]]&lt;=-500,0,1)</f>
        <v>1</v>
      </c>
      <c r="L144" s="24"/>
      <c r="N144" s="25"/>
      <c r="O144" s="25"/>
    </row>
    <row r="145">
      <c r="A145" s="21">
        <v>139</v>
      </c>
      <c r="E145" s="8">
        <v>0</v>
      </c>
      <c r="F145" s="22"/>
      <c r="H145" s="23"/>
      <c r="K145" s="24">
        <f>IF(Ausgaben[[#This Row],[Umfang '[€']]]&lt;=-500,0,1)</f>
        <v>1</v>
      </c>
      <c r="L145" s="24"/>
      <c r="N145" s="25"/>
      <c r="O145" s="25"/>
    </row>
    <row r="146">
      <c r="A146" s="21">
        <v>140</v>
      </c>
      <c r="E146" s="8">
        <v>0</v>
      </c>
      <c r="F146" s="22"/>
      <c r="H146" s="23"/>
      <c r="K146" s="24">
        <f>IF(Ausgaben[[#This Row],[Umfang '[€']]]&lt;=-500,0,1)</f>
        <v>1</v>
      </c>
      <c r="L146" s="24"/>
      <c r="N146" s="25"/>
      <c r="O146" s="25"/>
    </row>
    <row r="147">
      <c r="A147" s="21">
        <v>141</v>
      </c>
      <c r="E147" s="8">
        <v>0</v>
      </c>
      <c r="F147" s="22"/>
      <c r="H147" s="23"/>
      <c r="K147" s="24">
        <f>IF(Ausgaben[[#This Row],[Umfang '[€']]]&lt;=-500,0,1)</f>
        <v>1</v>
      </c>
      <c r="L147" s="24"/>
      <c r="N147" s="25"/>
      <c r="O147" s="25"/>
    </row>
    <row r="148">
      <c r="A148" s="21">
        <v>142</v>
      </c>
      <c r="E148" s="8">
        <v>0</v>
      </c>
      <c r="F148" s="22"/>
      <c r="H148" s="23"/>
      <c r="K148" s="24">
        <f>IF(Ausgaben[[#This Row],[Umfang '[€']]]&lt;=-500,0,1)</f>
        <v>1</v>
      </c>
      <c r="L148" s="24"/>
      <c r="N148" s="25"/>
      <c r="O148" s="25"/>
    </row>
    <row r="149">
      <c r="A149" s="21">
        <v>143</v>
      </c>
      <c r="E149" s="8">
        <v>0</v>
      </c>
      <c r="F149" s="22"/>
      <c r="H149" s="23"/>
      <c r="K149" s="24">
        <f>IF(Ausgaben[[#This Row],[Umfang '[€']]]&lt;=-500,0,1)</f>
        <v>1</v>
      </c>
      <c r="L149" s="24"/>
      <c r="N149" s="25"/>
      <c r="O149" s="25"/>
    </row>
    <row r="150">
      <c r="A150" s="21">
        <v>144</v>
      </c>
      <c r="E150" s="8">
        <v>0</v>
      </c>
      <c r="F150" s="22"/>
      <c r="H150" s="23"/>
      <c r="K150" s="24">
        <f>IF(Ausgaben[[#This Row],[Umfang '[€']]]&lt;=-500,0,1)</f>
        <v>1</v>
      </c>
      <c r="L150" s="24"/>
      <c r="N150" s="25"/>
      <c r="O150" s="25"/>
    </row>
    <row r="151">
      <c r="A151" s="21">
        <v>145</v>
      </c>
      <c r="E151" s="8">
        <v>0</v>
      </c>
      <c r="F151" s="22"/>
      <c r="H151" s="23"/>
      <c r="K151" s="24">
        <f>IF(Ausgaben[[#This Row],[Umfang '[€']]]&lt;=-500,0,1)</f>
        <v>1</v>
      </c>
      <c r="L151" s="24"/>
      <c r="N151" s="25"/>
      <c r="O151" s="25"/>
    </row>
    <row r="152">
      <c r="A152" s="21">
        <v>146</v>
      </c>
      <c r="E152" s="8">
        <v>0</v>
      </c>
      <c r="F152" s="22"/>
      <c r="H152" s="23"/>
      <c r="K152" s="24">
        <f>IF(Ausgaben[[#This Row],[Umfang '[€']]]&lt;=-500,0,1)</f>
        <v>1</v>
      </c>
      <c r="L152" s="24"/>
      <c r="N152" s="25"/>
      <c r="O152" s="25"/>
    </row>
    <row r="153">
      <c r="A153" s="21">
        <v>147</v>
      </c>
      <c r="E153" s="8">
        <v>0</v>
      </c>
      <c r="F153" s="22"/>
      <c r="H153" s="23"/>
      <c r="K153" s="24">
        <f>IF(Ausgaben[[#This Row],[Umfang '[€']]]&lt;=-500,0,1)</f>
        <v>1</v>
      </c>
      <c r="L153" s="24"/>
      <c r="N153" s="25"/>
      <c r="O153" s="25"/>
    </row>
    <row r="154">
      <c r="A154" s="21">
        <v>148</v>
      </c>
      <c r="E154" s="8">
        <v>0</v>
      </c>
      <c r="F154" s="22"/>
      <c r="H154" s="23"/>
      <c r="K154" s="24">
        <f>IF(Ausgaben[[#This Row],[Umfang '[€']]]&lt;=-500,0,1)</f>
        <v>1</v>
      </c>
      <c r="L154" s="24"/>
      <c r="N154" s="25"/>
      <c r="O154" s="25"/>
    </row>
    <row r="155">
      <c r="A155" s="21">
        <v>149</v>
      </c>
      <c r="E155" s="8">
        <v>0</v>
      </c>
      <c r="F155" s="22"/>
      <c r="H155" s="23"/>
      <c r="K155" s="24">
        <f>IF(Ausgaben[[#This Row],[Umfang '[€']]]&lt;=-500,0,1)</f>
        <v>1</v>
      </c>
      <c r="L155" s="24"/>
      <c r="N155" s="25"/>
      <c r="O155" s="25"/>
    </row>
    <row r="156">
      <c r="A156" s="21">
        <v>150</v>
      </c>
      <c r="E156" s="8">
        <v>0</v>
      </c>
      <c r="F156" s="22"/>
      <c r="H156" s="23"/>
      <c r="K156" s="24">
        <f>IF(Ausgaben[[#This Row],[Umfang '[€']]]&lt;=-500,0,1)</f>
        <v>1</v>
      </c>
      <c r="L156" s="24"/>
      <c r="N156" s="25"/>
      <c r="O156" s="25"/>
    </row>
    <row r="157">
      <c r="A157" s="21">
        <v>151</v>
      </c>
      <c r="E157" s="8">
        <v>0</v>
      </c>
      <c r="F157" s="22"/>
      <c r="H157" s="23"/>
      <c r="K157" s="24">
        <f>IF(Ausgaben[[#This Row],[Umfang '[€']]]&lt;=-500,0,1)</f>
        <v>1</v>
      </c>
      <c r="L157" s="24"/>
      <c r="N157" s="25"/>
      <c r="O157" s="25"/>
    </row>
    <row r="158">
      <c r="A158" s="21">
        <v>152</v>
      </c>
      <c r="E158" s="8">
        <v>0</v>
      </c>
      <c r="F158" s="22"/>
      <c r="H158" s="23"/>
      <c r="K158" s="24">
        <f>IF(Ausgaben[[#This Row],[Umfang '[€']]]&lt;=-500,0,1)</f>
        <v>1</v>
      </c>
      <c r="L158" s="24"/>
      <c r="N158" s="25"/>
      <c r="O158" s="25"/>
    </row>
    <row r="159">
      <c r="A159" s="21">
        <v>153</v>
      </c>
      <c r="E159" s="8">
        <v>0</v>
      </c>
      <c r="F159" s="22"/>
      <c r="H159" s="23"/>
      <c r="K159" s="24">
        <f>IF(Ausgaben[[#This Row],[Umfang '[€']]]&lt;=-500,0,1)</f>
        <v>1</v>
      </c>
      <c r="L159" s="24"/>
      <c r="N159" s="25"/>
      <c r="O159" s="25"/>
    </row>
    <row r="160">
      <c r="A160" s="21">
        <v>154</v>
      </c>
      <c r="E160" s="8">
        <v>0</v>
      </c>
      <c r="F160" s="22"/>
      <c r="H160" s="23"/>
      <c r="K160" s="24">
        <f>IF(Ausgaben[[#This Row],[Umfang '[€']]]&lt;=-500,0,1)</f>
        <v>1</v>
      </c>
      <c r="L160" s="24"/>
      <c r="N160" s="25"/>
      <c r="O160" s="25"/>
    </row>
    <row r="161">
      <c r="A161" s="21">
        <v>155</v>
      </c>
      <c r="E161" s="8">
        <v>0</v>
      </c>
      <c r="F161" s="22"/>
      <c r="H161" s="23"/>
      <c r="K161" s="24">
        <f>IF(Ausgaben[[#This Row],[Umfang '[€']]]&lt;=-500,0,1)</f>
        <v>1</v>
      </c>
      <c r="L161" s="24"/>
      <c r="N161" s="25"/>
      <c r="O161" s="25"/>
    </row>
    <row r="162">
      <c r="A162" s="21">
        <v>156</v>
      </c>
      <c r="E162" s="8">
        <v>0</v>
      </c>
      <c r="F162" s="22"/>
      <c r="H162" s="23"/>
      <c r="K162" s="24">
        <f>IF(Ausgaben[[#This Row],[Umfang '[€']]]&lt;=-500,0,1)</f>
        <v>1</v>
      </c>
      <c r="L162" s="24"/>
      <c r="N162" s="25"/>
      <c r="O162" s="25"/>
    </row>
    <row r="163">
      <c r="A163" s="21">
        <v>157</v>
      </c>
      <c r="E163" s="8">
        <v>0</v>
      </c>
      <c r="F163" s="22"/>
      <c r="H163" s="23"/>
      <c r="K163" s="24">
        <f>IF(Ausgaben[[#This Row],[Umfang '[€']]]&lt;=-500,0,1)</f>
        <v>1</v>
      </c>
      <c r="L163" s="24"/>
      <c r="N163" s="25"/>
      <c r="O163" s="25"/>
    </row>
    <row r="164">
      <c r="A164" s="21">
        <v>158</v>
      </c>
      <c r="E164" s="8">
        <v>0</v>
      </c>
      <c r="F164" s="22"/>
      <c r="H164" s="23"/>
      <c r="K164" s="24">
        <f>IF(Ausgaben[[#This Row],[Umfang '[€']]]&lt;=-500,0,1)</f>
        <v>1</v>
      </c>
      <c r="L164" s="24"/>
      <c r="N164" s="25"/>
      <c r="O164" s="25"/>
    </row>
    <row r="165">
      <c r="A165" s="21">
        <v>159</v>
      </c>
      <c r="E165" s="8">
        <v>0</v>
      </c>
      <c r="F165" s="22"/>
      <c r="H165" s="23"/>
      <c r="K165" s="24">
        <f>IF(Ausgaben[[#This Row],[Umfang '[€']]]&lt;=-500,0,1)</f>
        <v>1</v>
      </c>
      <c r="L165" s="24"/>
      <c r="N165" s="25"/>
      <c r="O165" s="25"/>
    </row>
    <row r="166">
      <c r="A166" s="21">
        <v>160</v>
      </c>
      <c r="E166" s="8">
        <v>0</v>
      </c>
      <c r="F166" s="22"/>
      <c r="H166" s="23"/>
      <c r="K166" s="24">
        <f>IF(Ausgaben[[#This Row],[Umfang '[€']]]&lt;=-500,0,1)</f>
        <v>1</v>
      </c>
      <c r="L166" s="24"/>
      <c r="N166" s="25"/>
      <c r="O166" s="25"/>
    </row>
    <row r="167">
      <c r="A167" s="21">
        <v>161</v>
      </c>
      <c r="E167" s="8">
        <v>0</v>
      </c>
      <c r="F167" s="22"/>
      <c r="H167" s="23"/>
      <c r="K167" s="24">
        <f>IF(Ausgaben[[#This Row],[Umfang '[€']]]&lt;=-500,0,1)</f>
        <v>1</v>
      </c>
      <c r="L167" s="24"/>
      <c r="N167" s="25"/>
      <c r="O167" s="25"/>
    </row>
    <row r="168">
      <c r="A168" s="21">
        <v>162</v>
      </c>
      <c r="E168" s="8">
        <v>0</v>
      </c>
      <c r="F168" s="22"/>
      <c r="H168" s="23"/>
      <c r="K168" s="24">
        <f>IF(Ausgaben[[#This Row],[Umfang '[€']]]&lt;=-500,0,1)</f>
        <v>1</v>
      </c>
      <c r="L168" s="24"/>
      <c r="N168" s="25"/>
      <c r="O168" s="25"/>
    </row>
    <row r="169">
      <c r="A169" s="21">
        <v>163</v>
      </c>
      <c r="E169" s="8">
        <v>0</v>
      </c>
      <c r="F169" s="22"/>
      <c r="H169" s="23"/>
      <c r="K169" s="24">
        <f>IF(Ausgaben[[#This Row],[Umfang '[€']]]&lt;=-500,0,1)</f>
        <v>1</v>
      </c>
      <c r="L169" s="24"/>
      <c r="N169" s="25"/>
      <c r="O169" s="25"/>
    </row>
    <row r="170">
      <c r="A170" s="21">
        <v>164</v>
      </c>
      <c r="E170" s="8">
        <v>0</v>
      </c>
      <c r="F170" s="22"/>
      <c r="H170" s="23"/>
      <c r="K170" s="24">
        <f>IF(Ausgaben[[#This Row],[Umfang '[€']]]&lt;=-500,0,1)</f>
        <v>1</v>
      </c>
      <c r="L170" s="24"/>
      <c r="N170" s="25"/>
      <c r="O170" s="25"/>
    </row>
    <row r="171">
      <c r="A171" s="21">
        <v>165</v>
      </c>
      <c r="E171" s="8">
        <v>0</v>
      </c>
      <c r="F171" s="22"/>
      <c r="H171" s="23"/>
      <c r="K171" s="24">
        <f>IF(Ausgaben[[#This Row],[Umfang '[€']]]&lt;=-500,0,1)</f>
        <v>1</v>
      </c>
      <c r="L171" s="24"/>
      <c r="N171" s="25"/>
      <c r="O171" s="25"/>
    </row>
    <row r="172">
      <c r="A172" s="21">
        <v>166</v>
      </c>
      <c r="E172" s="8">
        <v>0</v>
      </c>
      <c r="F172" s="22"/>
      <c r="H172" s="23"/>
      <c r="K172" s="24">
        <f>IF(Ausgaben[[#This Row],[Umfang '[€']]]&lt;=-500,0,1)</f>
        <v>1</v>
      </c>
      <c r="L172" s="24"/>
      <c r="N172" s="25"/>
      <c r="O172" s="25"/>
    </row>
    <row r="173">
      <c r="A173" s="21">
        <v>167</v>
      </c>
      <c r="E173" s="8">
        <v>0</v>
      </c>
      <c r="F173" s="22"/>
      <c r="H173" s="23"/>
      <c r="K173" s="24">
        <f>IF(Ausgaben[[#This Row],[Umfang '[€']]]&lt;=-500,0,1)</f>
        <v>1</v>
      </c>
      <c r="L173" s="24"/>
      <c r="N173" s="25"/>
      <c r="O173" s="25"/>
    </row>
    <row r="174">
      <c r="A174" s="21">
        <v>168</v>
      </c>
      <c r="E174" s="8">
        <v>0</v>
      </c>
      <c r="F174" s="22"/>
      <c r="H174" s="23"/>
      <c r="K174" s="24">
        <f>IF(Ausgaben[[#This Row],[Umfang '[€']]]&lt;=-500,0,1)</f>
        <v>1</v>
      </c>
      <c r="L174" s="24"/>
      <c r="N174" s="25"/>
      <c r="O174" s="25"/>
    </row>
    <row r="175">
      <c r="A175" s="21">
        <v>169</v>
      </c>
      <c r="E175" s="8">
        <v>0</v>
      </c>
      <c r="F175" s="22"/>
      <c r="H175" s="23"/>
      <c r="K175" s="24">
        <f>IF(Ausgaben[[#This Row],[Umfang '[€']]]&lt;=-500,0,1)</f>
        <v>1</v>
      </c>
      <c r="L175" s="24"/>
      <c r="N175" s="25"/>
      <c r="O175" s="25"/>
    </row>
    <row r="176">
      <c r="A176" s="21">
        <v>170</v>
      </c>
      <c r="E176" s="8">
        <v>0</v>
      </c>
      <c r="F176" s="22"/>
      <c r="H176" s="23"/>
      <c r="K176" s="24">
        <f>IF(Ausgaben[[#This Row],[Umfang '[€']]]&lt;=-500,0,1)</f>
        <v>1</v>
      </c>
      <c r="L176" s="24"/>
      <c r="N176" s="25"/>
      <c r="O176" s="25"/>
    </row>
    <row r="177">
      <c r="A177" s="21">
        <v>171</v>
      </c>
      <c r="E177" s="8">
        <v>0</v>
      </c>
      <c r="F177" s="22"/>
      <c r="H177" s="23"/>
      <c r="K177" s="24">
        <f>IF(Ausgaben[[#This Row],[Umfang '[€']]]&lt;=-500,0,1)</f>
        <v>1</v>
      </c>
      <c r="L177" s="24"/>
      <c r="N177" s="25"/>
      <c r="O177" s="25"/>
    </row>
    <row r="178">
      <c r="A178" s="21">
        <v>172</v>
      </c>
      <c r="E178" s="8">
        <v>0</v>
      </c>
      <c r="F178" s="22"/>
      <c r="H178" s="23"/>
      <c r="K178" s="24">
        <f>IF(Ausgaben[[#This Row],[Umfang '[€']]]&lt;=-500,0,1)</f>
        <v>1</v>
      </c>
      <c r="L178" s="24"/>
      <c r="N178" s="25"/>
      <c r="O178" s="25"/>
    </row>
    <row r="179">
      <c r="A179" s="21">
        <v>173</v>
      </c>
      <c r="E179" s="8">
        <v>0</v>
      </c>
      <c r="F179" s="22"/>
      <c r="H179" s="23"/>
      <c r="K179" s="24">
        <f>IF(Ausgaben[[#This Row],[Umfang '[€']]]&lt;=-500,0,1)</f>
        <v>1</v>
      </c>
      <c r="L179" s="24"/>
      <c r="N179" s="25"/>
      <c r="O179" s="25"/>
    </row>
    <row r="180">
      <c r="A180" s="21">
        <v>174</v>
      </c>
      <c r="E180" s="8">
        <v>0</v>
      </c>
      <c r="F180" s="22"/>
      <c r="H180" s="23"/>
      <c r="K180" s="24">
        <f>IF(Ausgaben[[#This Row],[Umfang '[€']]]&lt;=-500,0,1)</f>
        <v>1</v>
      </c>
      <c r="L180" s="24"/>
      <c r="N180" s="25"/>
      <c r="O180" s="25"/>
    </row>
    <row r="181">
      <c r="A181" s="21">
        <v>175</v>
      </c>
      <c r="E181" s="8">
        <v>0</v>
      </c>
      <c r="F181" s="22"/>
      <c r="H181" s="23"/>
      <c r="K181" s="24">
        <f>IF(Ausgaben[[#This Row],[Umfang '[€']]]&lt;=-500,0,1)</f>
        <v>1</v>
      </c>
      <c r="L181" s="24"/>
      <c r="N181" s="25"/>
      <c r="O181" s="25"/>
    </row>
    <row r="182">
      <c r="A182" s="21">
        <v>176</v>
      </c>
      <c r="E182" s="8">
        <v>0</v>
      </c>
      <c r="F182" s="22"/>
      <c r="H182" s="23"/>
      <c r="K182" s="24">
        <f>IF(Ausgaben[[#This Row],[Umfang '[€']]]&lt;=-500,0,1)</f>
        <v>1</v>
      </c>
      <c r="L182" s="24"/>
      <c r="N182" s="25"/>
      <c r="O182" s="25"/>
    </row>
    <row r="183">
      <c r="A183" s="21">
        <v>177</v>
      </c>
      <c r="E183" s="8">
        <v>0</v>
      </c>
      <c r="F183" s="22"/>
      <c r="H183" s="23"/>
      <c r="K183" s="24">
        <f>IF(Ausgaben[[#This Row],[Umfang '[€']]]&lt;=-500,0,1)</f>
        <v>1</v>
      </c>
      <c r="L183" s="24"/>
      <c r="N183" s="25"/>
      <c r="O183" s="25"/>
    </row>
    <row r="184">
      <c r="A184" s="21">
        <v>178</v>
      </c>
      <c r="E184" s="8">
        <v>0</v>
      </c>
      <c r="F184" s="22"/>
      <c r="H184" s="23"/>
      <c r="K184" s="24">
        <f>IF(Ausgaben[[#This Row],[Umfang '[€']]]&lt;=-500,0,1)</f>
        <v>1</v>
      </c>
      <c r="L184" s="24"/>
      <c r="N184" s="25"/>
      <c r="O184" s="25"/>
    </row>
    <row r="185">
      <c r="A185" s="21">
        <v>179</v>
      </c>
      <c r="E185" s="8">
        <v>0</v>
      </c>
      <c r="F185" s="22"/>
      <c r="H185" s="23"/>
      <c r="K185" s="24">
        <f>IF(Ausgaben[[#This Row],[Umfang '[€']]]&lt;=-500,0,1)</f>
        <v>1</v>
      </c>
      <c r="L185" s="24"/>
      <c r="N185" s="25"/>
      <c r="O185" s="25"/>
    </row>
    <row r="186">
      <c r="A186" s="21">
        <v>180</v>
      </c>
      <c r="E186" s="8">
        <v>0</v>
      </c>
      <c r="F186" s="22"/>
      <c r="H186" s="23"/>
      <c r="K186" s="24">
        <f>IF(Ausgaben[[#This Row],[Umfang '[€']]]&lt;=-500,0,1)</f>
        <v>1</v>
      </c>
      <c r="L186" s="24"/>
      <c r="N186" s="25"/>
      <c r="O186" s="25"/>
    </row>
    <row r="187">
      <c r="A187" s="21">
        <v>181</v>
      </c>
      <c r="E187" s="8">
        <v>0</v>
      </c>
      <c r="F187" s="22"/>
      <c r="H187" s="23"/>
      <c r="K187" s="24">
        <f>IF(Ausgaben[[#This Row],[Umfang '[€']]]&lt;=-500,0,1)</f>
        <v>1</v>
      </c>
      <c r="L187" s="24"/>
      <c r="N187" s="25"/>
      <c r="O187" s="25"/>
    </row>
    <row r="188">
      <c r="A188" s="21">
        <v>182</v>
      </c>
      <c r="E188" s="8">
        <v>0</v>
      </c>
      <c r="F188" s="22"/>
      <c r="H188" s="23"/>
      <c r="K188" s="24">
        <f>IF(Ausgaben[[#This Row],[Umfang '[€']]]&lt;=-500,0,1)</f>
        <v>1</v>
      </c>
      <c r="L188" s="24"/>
      <c r="N188" s="25"/>
      <c r="O188" s="25"/>
    </row>
    <row r="189">
      <c r="A189" s="21">
        <v>183</v>
      </c>
      <c r="E189" s="8">
        <v>0</v>
      </c>
      <c r="F189" s="22"/>
      <c r="H189" s="23"/>
      <c r="K189" s="24">
        <f>IF(Ausgaben[[#This Row],[Umfang '[€']]]&lt;=-500,0,1)</f>
        <v>1</v>
      </c>
      <c r="L189" s="24"/>
      <c r="N189" s="25"/>
      <c r="O189" s="25"/>
    </row>
    <row r="190">
      <c r="A190" s="21">
        <v>184</v>
      </c>
      <c r="E190" s="8">
        <v>0</v>
      </c>
      <c r="F190" s="22"/>
      <c r="H190" s="23"/>
      <c r="K190" s="24">
        <f>IF(Ausgaben[[#This Row],[Umfang '[€']]]&lt;=-500,0,1)</f>
        <v>1</v>
      </c>
      <c r="L190" s="24"/>
      <c r="N190" s="25"/>
      <c r="O190" s="25"/>
    </row>
    <row r="191">
      <c r="A191" s="21">
        <v>185</v>
      </c>
      <c r="E191" s="8">
        <v>0</v>
      </c>
      <c r="F191" s="22"/>
      <c r="H191" s="23"/>
      <c r="K191" s="24">
        <f>IF(Ausgaben[[#This Row],[Umfang '[€']]]&lt;=-500,0,1)</f>
        <v>1</v>
      </c>
      <c r="L191" s="24"/>
      <c r="N191" s="25"/>
      <c r="O191" s="25"/>
    </row>
    <row r="192">
      <c r="A192" s="21">
        <v>186</v>
      </c>
      <c r="E192" s="8">
        <v>0</v>
      </c>
      <c r="F192" s="22"/>
      <c r="H192" s="23"/>
      <c r="K192" s="24">
        <f>IF(Ausgaben[[#This Row],[Umfang '[€']]]&lt;=-500,0,1)</f>
        <v>1</v>
      </c>
      <c r="L192" s="24"/>
      <c r="N192" s="25"/>
      <c r="O192" s="25"/>
    </row>
    <row r="193">
      <c r="A193" s="21">
        <v>187</v>
      </c>
      <c r="E193" s="8">
        <v>0</v>
      </c>
      <c r="F193" s="22"/>
      <c r="H193" s="23"/>
      <c r="K193" s="24">
        <f>IF(Ausgaben[[#This Row],[Umfang '[€']]]&lt;=-500,0,1)</f>
        <v>1</v>
      </c>
      <c r="L193" s="24"/>
      <c r="N193" s="25"/>
      <c r="O193" s="25"/>
    </row>
    <row r="194">
      <c r="A194" s="21">
        <v>188</v>
      </c>
      <c r="E194" s="8">
        <v>0</v>
      </c>
      <c r="F194" s="22"/>
      <c r="H194" s="23"/>
      <c r="K194" s="24">
        <f>IF(Ausgaben[[#This Row],[Umfang '[€']]]&lt;=-500,0,1)</f>
        <v>1</v>
      </c>
      <c r="L194" s="24"/>
      <c r="N194" s="25"/>
      <c r="O194" s="25"/>
    </row>
    <row r="195">
      <c r="A195" s="21">
        <v>189</v>
      </c>
      <c r="E195" s="8">
        <v>0</v>
      </c>
      <c r="F195" s="22"/>
      <c r="H195" s="23"/>
      <c r="K195" s="24">
        <f>IF(Ausgaben[[#This Row],[Umfang '[€']]]&lt;=-500,0,1)</f>
        <v>1</v>
      </c>
      <c r="L195" s="24"/>
      <c r="N195" s="25"/>
      <c r="O195" s="25"/>
    </row>
    <row r="196">
      <c r="A196" s="21">
        <v>190</v>
      </c>
      <c r="E196" s="8">
        <v>0</v>
      </c>
      <c r="F196" s="22"/>
      <c r="H196" s="23"/>
      <c r="K196" s="24">
        <f>IF(Ausgaben[[#This Row],[Umfang '[€']]]&lt;=-500,0,1)</f>
        <v>1</v>
      </c>
      <c r="L196" s="24"/>
      <c r="N196" s="25"/>
      <c r="O196" s="25"/>
    </row>
    <row r="197">
      <c r="A197" s="21">
        <v>191</v>
      </c>
      <c r="E197" s="8">
        <v>0</v>
      </c>
      <c r="F197" s="22"/>
      <c r="H197" s="23"/>
      <c r="K197" s="24">
        <f>IF(Ausgaben[[#This Row],[Umfang '[€']]]&lt;=-500,0,1)</f>
        <v>1</v>
      </c>
      <c r="L197" s="24"/>
      <c r="N197" s="25"/>
      <c r="O197" s="25"/>
    </row>
    <row r="198">
      <c r="A198" s="21">
        <v>192</v>
      </c>
      <c r="E198" s="8">
        <v>0</v>
      </c>
      <c r="F198" s="22"/>
      <c r="H198" s="23"/>
      <c r="K198" s="24">
        <f>IF(Ausgaben[[#This Row],[Umfang '[€']]]&lt;=-500,0,1)</f>
        <v>1</v>
      </c>
      <c r="L198" s="24"/>
      <c r="N198" s="25"/>
      <c r="O198" s="25"/>
    </row>
    <row r="199">
      <c r="A199" s="21">
        <v>193</v>
      </c>
      <c r="E199" s="8">
        <v>0</v>
      </c>
      <c r="F199" s="22"/>
      <c r="H199" s="23"/>
      <c r="K199" s="24">
        <f>IF(Ausgaben[[#This Row],[Umfang '[€']]]&lt;=-500,0,1)</f>
        <v>1</v>
      </c>
      <c r="L199" s="24"/>
      <c r="N199" s="25"/>
      <c r="O199" s="25"/>
    </row>
    <row r="200">
      <c r="A200" s="21">
        <v>194</v>
      </c>
      <c r="E200" s="8">
        <v>0</v>
      </c>
      <c r="F200" s="22"/>
      <c r="H200" s="23"/>
      <c r="K200" s="24">
        <f>IF(Ausgaben[[#This Row],[Umfang '[€']]]&lt;=-500,0,1)</f>
        <v>1</v>
      </c>
      <c r="L200" s="24"/>
      <c r="N200" s="25"/>
      <c r="O200" s="25"/>
    </row>
    <row r="201">
      <c r="A201" s="21">
        <v>195</v>
      </c>
      <c r="E201" s="8">
        <v>0</v>
      </c>
      <c r="F201" s="22"/>
      <c r="H201" s="23"/>
      <c r="K201" s="24">
        <f>IF(Ausgaben[[#This Row],[Umfang '[€']]]&lt;=-500,0,1)</f>
        <v>1</v>
      </c>
      <c r="L201" s="24"/>
      <c r="N201" s="25"/>
      <c r="O201" s="25"/>
    </row>
    <row r="202">
      <c r="A202" s="21">
        <v>196</v>
      </c>
      <c r="E202" s="8">
        <v>0</v>
      </c>
      <c r="F202" s="22"/>
      <c r="H202" s="23"/>
      <c r="K202" s="24">
        <f>IF(Ausgaben[[#This Row],[Umfang '[€']]]&lt;=-500,0,1)</f>
        <v>1</v>
      </c>
      <c r="L202" s="24"/>
      <c r="N202" s="25"/>
      <c r="O202" s="25"/>
    </row>
    <row r="203">
      <c r="A203" s="21">
        <v>197</v>
      </c>
      <c r="E203" s="8">
        <v>0</v>
      </c>
      <c r="F203" s="22"/>
      <c r="H203" s="23"/>
      <c r="K203" s="24">
        <f>IF(Ausgaben[[#This Row],[Umfang '[€']]]&lt;=-500,0,1)</f>
        <v>1</v>
      </c>
      <c r="L203" s="24"/>
      <c r="N203" s="25"/>
      <c r="O203" s="25"/>
    </row>
    <row r="204">
      <c r="A204" s="21">
        <v>198</v>
      </c>
      <c r="E204" s="8">
        <v>0</v>
      </c>
      <c r="F204" s="22"/>
      <c r="H204" s="23"/>
      <c r="K204" s="24">
        <f>IF(Ausgaben[[#This Row],[Umfang '[€']]]&lt;=-500,0,1)</f>
        <v>1</v>
      </c>
      <c r="L204" s="24"/>
      <c r="N204" s="25"/>
      <c r="O204" s="25"/>
    </row>
    <row r="205">
      <c r="A205" s="21">
        <v>199</v>
      </c>
      <c r="E205" s="8">
        <v>0</v>
      </c>
      <c r="F205" s="22"/>
      <c r="H205" s="23"/>
      <c r="K205" s="24">
        <f>IF(Ausgaben[[#This Row],[Umfang '[€']]]&lt;=-500,0,1)</f>
        <v>1</v>
      </c>
      <c r="L205" s="24"/>
      <c r="N205" s="25"/>
      <c r="O205" s="25"/>
    </row>
  </sheetData>
  <mergeCells count="1">
    <mergeCell ref="A2:O2"/>
  </mergeCells>
  <dataValidations count="18" disablePrompts="0">
    <dataValidation sqref="J7:J34 J37:J73 J76:J98 J105:J107 J109:J205" type="list" allowBlank="1" errorStyle="stop" imeMode="noControl" operator="between" showDropDown="0" showErrorMessage="1" showInputMessage="1">
      <formula1>Reference!$A$5:$A$19</formula1>
    </dataValidation>
    <dataValidation sqref="G7:G73 G76 G78 G86:G100 G103:G205" type="list" allowBlank="1" errorStyle="stop" imeMode="noControl" operator="between" showDropDown="0" showErrorMessage="1" showInputMessage="1">
      <formula1>'Finanzplan StuPa'!$B$5:$B$42</formula1>
    </dataValidation>
    <dataValidation sqref="G74" type="list" allowBlank="1" errorStyle="stop" imeMode="noControl" operator="between" showDropDown="0" showErrorMessage="1" showInputMessage="1">
      <formula1>'Finanzplan StuPa'!$B$5:$B$42</formula1>
    </dataValidation>
    <dataValidation sqref="G75" type="list" allowBlank="1" errorStyle="stop" imeMode="noControl" operator="between" showDropDown="0" showErrorMessage="1" showInputMessage="1">
      <formula1>'Finanzplan StuPa'!$B$5:$B$42</formula1>
    </dataValidation>
    <dataValidation sqref="J74" type="list" allowBlank="1" errorStyle="stop" imeMode="noControl" operator="between" showDropDown="0" showErrorMessage="1" showInputMessage="1">
      <formula1>Reference!$A$5:$A$19</formula1>
    </dataValidation>
    <dataValidation sqref="J75" type="list" allowBlank="1" errorStyle="stop" imeMode="noControl" operator="between" showDropDown="0" showErrorMessage="1" showInputMessage="1">
      <formula1>Reference!$A$5:$A$19</formula1>
    </dataValidation>
    <dataValidation sqref="G77" type="list" allowBlank="1" errorStyle="stop" imeMode="noControl" operator="between" showDropDown="0" showErrorMessage="1" showInputMessage="1">
      <formula1>'Finanzplan StuPa'!$B$5:$B$42</formula1>
    </dataValidation>
    <dataValidation sqref="G79:G80" type="list" allowBlank="1" errorStyle="stop" imeMode="noControl" operator="between" showDropDown="0" showErrorMessage="1" showInputMessage="1">
      <formula1>'Finanzplan StuPa'!$B$5:$B$42</formula1>
    </dataValidation>
    <dataValidation sqref="G81" type="list" allowBlank="1" errorStyle="stop" imeMode="noControl" operator="between" showDropDown="0" showErrorMessage="1" showInputMessage="1">
      <formula1>'Finanzplan StuPa'!$B$5:$B$42</formula1>
    </dataValidation>
    <dataValidation sqref="G82" type="list" allowBlank="1" errorStyle="stop" imeMode="noControl" operator="between" showDropDown="0" showErrorMessage="1" showInputMessage="1">
      <formula1>'Finanzplan StuPa'!$B$5:$B$42</formula1>
    </dataValidation>
    <dataValidation sqref="G83" type="list" allowBlank="1" errorStyle="stop" imeMode="noControl" operator="between" showDropDown="0" showErrorMessage="1" showInputMessage="1">
      <formula1>'Finanzplan StuPa'!$B$5:$B$42</formula1>
    </dataValidation>
    <dataValidation sqref="G84" type="list" allowBlank="1" errorStyle="stop" imeMode="noControl" operator="between" showDropDown="0" showErrorMessage="1" showInputMessage="1">
      <formula1>'Finanzplan StuPa'!$B$5:$B$42</formula1>
    </dataValidation>
    <dataValidation sqref="G85" type="list" allowBlank="1" errorStyle="stop" imeMode="noControl" operator="between" showDropDown="0" showErrorMessage="1" showInputMessage="1">
      <formula1>'Finanzplan StuPa'!$B$5:$B$42</formula1>
    </dataValidation>
    <dataValidation sqref="J35" type="list" allowBlank="1" errorStyle="stop" imeMode="noControl" operator="between" showDropDown="0" showErrorMessage="1" showInputMessage="1">
      <formula1>Reference!$A$5:$A$19</formula1>
    </dataValidation>
    <dataValidation sqref="J36" type="list" allowBlank="1" errorStyle="stop" imeMode="noControl" operator="between" showDropDown="0" showErrorMessage="1" showInputMessage="1">
      <formula1>Reference!$A$5:$A$19</formula1>
    </dataValidation>
    <dataValidation sqref="G101" type="list" allowBlank="1" errorStyle="stop" imeMode="noControl" operator="between" showDropDown="0" showErrorMessage="1" showInputMessage="1">
      <formula1>'Finanzplan StuPa'!$B$5:$B$42</formula1>
    </dataValidation>
    <dataValidation sqref="G102" type="list" allowBlank="1" errorStyle="stop" imeMode="noControl" operator="between" showDropDown="0" showErrorMessage="1" showInputMessage="1">
      <formula1>'Finanzplan StuPa'!$B$5:$B$42</formula1>
    </dataValidation>
    <dataValidation sqref="J108" type="list" allowBlank="1" errorStyle="stop" imeMode="noControl" operator="between" showDropDown="0" showErrorMessage="1" showInputMessage="1">
      <formula1>Reference!$A$5:$A$19</formula1>
    </dataValidation>
  </dataValidations>
  <printOptions headings="0" gridLines="0"/>
  <pageMargins left="0.69999999999999996" right="0.69999999999999996" top="0.78740157500000008" bottom="0.78740157500000008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2147483648" verticalDpi="600" copies="1"/>
  <headerFooter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000-FEHLT" id="{00B500EA-0030-46FF-9743-000C0051005B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G47</xm:sqref>
        </x14:conditionalFormatting>
        <x14:conditionalFormatting xmlns:xm="http://schemas.microsoft.com/office/excel/2006/main">
          <x14:cfRule type="containsText" priority="20" operator="containsText" text="000-FEHLT" id="{0057008F-0070-4FBE-8BCB-00EB00250004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G46</xm:sqref>
        </x14:conditionalFormatting>
        <x14:conditionalFormatting xmlns:xm="http://schemas.microsoft.com/office/excel/2006/main">
          <x14:cfRule type="containsText" priority="19" operator="containsText" text="000-FEHLT" id="{00F10027-0090-4A7D-857D-007100520094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G34</xm:sqref>
        </x14:conditionalFormatting>
        <x14:conditionalFormatting xmlns:xm="http://schemas.microsoft.com/office/excel/2006/main">
          <x14:cfRule type="containsText" priority="18" operator="containsText" text="000-FEHLT" id="{00FA00BC-004F-489E-824C-0044008500CD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G35</xm:sqref>
        </x14:conditionalFormatting>
        <x14:conditionalFormatting xmlns:xm="http://schemas.microsoft.com/office/excel/2006/main">
          <x14:cfRule type="containsText" priority="17" operator="containsText" text="000-FEHLT" id="{00FD0055-00B0-4CF8-AEEE-00C600C800A0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G36</xm:sqref>
        </x14:conditionalFormatting>
        <x14:conditionalFormatting xmlns:xm="http://schemas.microsoft.com/office/excel/2006/main">
          <x14:cfRule type="containsText" priority="16" operator="containsText" text="000-FEHLT" id="{004500EB-009C-4BB0-8E7A-000C004000D6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G29</xm:sqref>
        </x14:conditionalFormatting>
        <x14:conditionalFormatting xmlns:xm="http://schemas.microsoft.com/office/excel/2006/main">
          <x14:cfRule type="containsText" priority="15" operator="containsText" text="000-FEHLT" id="{00BA005D-00F8-41ED-8A1E-00D1005D00EE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G28</xm:sqref>
        </x14:conditionalFormatting>
        <x14:conditionalFormatting xmlns:xm="http://schemas.microsoft.com/office/excel/2006/main">
          <x14:cfRule type="containsText" priority="14" operator="containsText" text="000-FEHLT" id="{00910016-0025-48F1-AFD8-006900A1007E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G27</xm:sqref>
        </x14:conditionalFormatting>
        <x14:conditionalFormatting xmlns:xm="http://schemas.microsoft.com/office/excel/2006/main">
          <x14:cfRule type="containsText" priority="13" operator="containsText" text="000-FEHLT" id="{006300E3-0086-438D-82A3-003100DD00ED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G26</xm:sqref>
        </x14:conditionalFormatting>
        <x14:conditionalFormatting xmlns:xm="http://schemas.microsoft.com/office/excel/2006/main">
          <x14:cfRule type="containsText" priority="12" operator="containsText" text="000-FEHLT" id="{007A00BC-00E3-4B8B-A206-00F800EF00C7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G116</xm:sqref>
        </x14:conditionalFormatting>
        <x14:conditionalFormatting xmlns:xm="http://schemas.microsoft.com/office/excel/2006/main">
          <x14:cfRule type="containsText" priority="11" operator="containsText" text="000-FEHLT" id="{000400E8-0043-4586-9376-00E6008D0040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G115</xm:sqref>
        </x14:conditionalFormatting>
        <x14:conditionalFormatting xmlns:xm="http://schemas.microsoft.com/office/excel/2006/main">
          <x14:cfRule type="containsText" priority="10" operator="containsText" text="000-FEHLT" id="{00640067-0037-4777-A75D-0020005100E5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G114</xm:sqref>
        </x14:conditionalFormatting>
        <x14:conditionalFormatting xmlns:xm="http://schemas.microsoft.com/office/excel/2006/main">
          <x14:cfRule type="containsText" priority="9" operator="containsText" text="000-FEHLT" id="{00E60005-002D-491F-8276-004A00990014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G118</xm:sqref>
        </x14:conditionalFormatting>
        <x14:conditionalFormatting xmlns:xm="http://schemas.microsoft.com/office/excel/2006/main">
          <x14:cfRule type="containsText" priority="8" operator="containsText" text="000-FEHLT" id="{00210022-001A-4FE0-BE64-005E00FD001D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G117</xm:sqref>
        </x14:conditionalFormatting>
        <x14:conditionalFormatting xmlns:xm="http://schemas.microsoft.com/office/excel/2006/main">
          <x14:cfRule type="iconSet" priority="7" id="{00310032-0036-474C-95B4-004E000800A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2" iconId="0"/>
              <x14:cfIcon iconSet="NoIcons" iconId="0"/>
            </x14:iconSet>
          </x14:cfRule>
          <xm:sqref>K118:L118</xm:sqref>
        </x14:conditionalFormatting>
        <x14:conditionalFormatting xmlns:xm="http://schemas.microsoft.com/office/excel/2006/main">
          <x14:cfRule type="iconSet" priority="6" id="{009D0063-006E-4589-A49A-00070052008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2" iconId="0"/>
              <x14:cfIcon iconSet="NoIcons" iconId="0"/>
            </x14:iconSet>
          </x14:cfRule>
          <xm:sqref>K117:L117</xm:sqref>
        </x14:conditionalFormatting>
        <x14:conditionalFormatting xmlns:xm="http://schemas.microsoft.com/office/excel/2006/main">
          <x14:cfRule type="containsBlanks" priority="5" id="{00F8000D-0044-43DB-AEF3-003F00AE0007}">
            <xm:f>LEN(TRIM(N7))=0</xm:f>
            <x14:dxf>
              <fill>
                <patternFill patternType="solid">
                  <fgColor theme="5" tint="0.79998168889431442"/>
                  <bgColor theme="5" tint="0.79998168889431442"/>
                </patternFill>
              </fill>
            </x14:dxf>
          </x14:cfRule>
          <xm:sqref>N117:O117</xm:sqref>
        </x14:conditionalFormatting>
        <x14:conditionalFormatting xmlns:xm="http://schemas.microsoft.com/office/excel/2006/main">
          <x14:cfRule type="containsBlanks" priority="4" id="{002E0042-00C3-4E86-8DF0-00A1006B0041}">
            <xm:f>LEN(TRIM(N7))=0</xm:f>
            <x14:dxf>
              <fill>
                <patternFill patternType="solid">
                  <fgColor theme="5" tint="0.79998168889431442"/>
                  <bgColor theme="5" tint="0.79998168889431442"/>
                </patternFill>
              </fill>
            </x14:dxf>
          </x14:cfRule>
          <xm:sqref>N7:O205</xm:sqref>
        </x14:conditionalFormatting>
        <x14:conditionalFormatting xmlns:xm="http://schemas.microsoft.com/office/excel/2006/main">
          <x14:cfRule type="iconSet" priority="3" id="{004F0049-008E-45C7-A2D2-005C009100C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2" iconId="0"/>
              <x14:cfIcon iconSet="NoIcons" iconId="0"/>
            </x14:iconSet>
          </x14:cfRule>
          <xm:sqref>K7:L205</xm:sqref>
        </x14:conditionalFormatting>
        <x14:conditionalFormatting xmlns:xm="http://schemas.microsoft.com/office/excel/2006/main">
          <x14:cfRule type="containsText" priority="1" operator="containsText" text="000-FEHLT" id="{00C60007-00B2-40BE-840D-004E005000E0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G7:G205</xm:sqref>
        </x14:conditionalFormatting>
        <x14:conditionalFormatting xmlns:xm="http://schemas.microsoft.com/office/excel/2006/main">
          <x14:cfRule type="containsText" priority="1" operator="containsText" text="000-FEHLT" id="{00CB0034-00FA-428A-9A1C-00ED00460060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G74</xm:sqref>
        </x14:conditionalFormatting>
        <x14:conditionalFormatting xmlns:xm="http://schemas.microsoft.com/office/excel/2006/main">
          <x14:cfRule type="containsText" priority="1" operator="containsText" text="000-FEHLT" id="{0064001A-002F-4C98-93E6-00ED00D50066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G75</xm:sqref>
        </x14:conditionalFormatting>
        <x14:conditionalFormatting xmlns:xm="http://schemas.microsoft.com/office/excel/2006/main">
          <x14:cfRule type="containsText" priority="1" operator="containsText" text="000-FEHLT" id="{00E400D7-00C5-4C04-9370-007C007600C0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G77</xm:sqref>
        </x14:conditionalFormatting>
        <x14:conditionalFormatting xmlns:xm="http://schemas.microsoft.com/office/excel/2006/main">
          <x14:cfRule type="containsText" priority="1" operator="containsText" text="000-FEHLT" id="{0038009A-0056-40D8-9FA5-004E00260015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G79:G80</xm:sqref>
        </x14:conditionalFormatting>
        <x14:conditionalFormatting xmlns:xm="http://schemas.microsoft.com/office/excel/2006/main">
          <x14:cfRule type="containsText" priority="1" operator="containsText" text="000-FEHLT" id="{00E700F2-00A7-4481-9572-00730087009C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G81</xm:sqref>
        </x14:conditionalFormatting>
        <x14:conditionalFormatting xmlns:xm="http://schemas.microsoft.com/office/excel/2006/main">
          <x14:cfRule type="containsText" priority="1" operator="containsText" text="000-FEHLT" id="{00CF0079-00ED-470F-A4FB-00D300DF007C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G82</xm:sqref>
        </x14:conditionalFormatting>
        <x14:conditionalFormatting xmlns:xm="http://schemas.microsoft.com/office/excel/2006/main">
          <x14:cfRule type="containsText" priority="1" operator="containsText" text="000-FEHLT" id="{00D1004C-002F-4CBB-B032-005700F60063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G83</xm:sqref>
        </x14:conditionalFormatting>
        <x14:conditionalFormatting xmlns:xm="http://schemas.microsoft.com/office/excel/2006/main">
          <x14:cfRule type="containsText" priority="1" operator="containsText" text="000-FEHLT" id="{008D0065-003F-48F0-9736-00A5009A0055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G83</xm:sqref>
        </x14:conditionalFormatting>
        <x14:conditionalFormatting xmlns:xm="http://schemas.microsoft.com/office/excel/2006/main">
          <x14:cfRule type="containsText" priority="1" operator="containsText" text="000-FEHLT" id="{00FC002F-00A6-4680-A04A-00B400D800C6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G84</xm:sqref>
        </x14:conditionalFormatting>
        <x14:conditionalFormatting xmlns:xm="http://schemas.microsoft.com/office/excel/2006/main">
          <x14:cfRule type="containsText" priority="1" operator="containsText" text="000-FEHLT" id="{00530064-008B-4AF0-AD26-001100020086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G84</xm:sqref>
        </x14:conditionalFormatting>
        <x14:conditionalFormatting xmlns:xm="http://schemas.microsoft.com/office/excel/2006/main">
          <x14:cfRule type="containsText" priority="1" operator="containsText" text="000-FEHLT" id="{0040000D-0007-4AEB-A35F-00BB00BC0081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G85</xm:sqref>
        </x14:conditionalFormatting>
        <x14:conditionalFormatting xmlns:xm="http://schemas.microsoft.com/office/excel/2006/main">
          <x14:cfRule type="containsText" priority="1" operator="containsText" text="000-FEHLT" id="{00B7001F-00D2-4EF1-8C85-006D00B200A1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G85</xm:sqref>
        </x14:conditionalFormatting>
        <x14:conditionalFormatting xmlns:xm="http://schemas.microsoft.com/office/excel/2006/main">
          <x14:cfRule type="containsText" priority="1" operator="containsText" text="000-FEHLT" id="{00FF0027-002E-4979-8696-00FF00D300AA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G101</xm:sqref>
        </x14:conditionalFormatting>
        <x14:conditionalFormatting xmlns:xm="http://schemas.microsoft.com/office/excel/2006/main">
          <x14:cfRule type="containsText" priority="1" operator="containsText" text="000-FEHLT" id="{00440074-00F9-43C3-9D7B-009400380030}">
            <xm:f>NOT(ISERROR(SEARCH("000-FEHLT",G7)))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G102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D700E0-008E-4E36-8361-0081002F00B5}" type="decimal" allowBlank="1" error="Ausgaben müssen negative Beträge sein!&#10;3.000€ -&gt; - 3.000€" errorStyle="stop" errorTitle="Falsches Vorzeichen" imeMode="noControl" operator="lessThanOrEqual" showDropDown="0" showErrorMessage="1" showInputMessage="1">
          <x14:formula1>
            <xm:f>0</xm:f>
          </x14:formula1>
          <xm:sqref>E7:E22 E25 E23 E24 E26:E50 E52:E92 E94:E205 E93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6" activeCellId="0" sqref="A6"/>
    </sheetView>
  </sheetViews>
  <sheetFormatPr baseColWidth="10" defaultRowHeight="14.25"/>
  <cols>
    <col customWidth="1" min="2" max="2" width="25.21875"/>
    <col customWidth="1" min="3" max="3" width="16.109375"/>
    <col customWidth="1" min="4" max="4" width="13.109375"/>
    <col customWidth="1" min="5" max="5" width="15.5546875"/>
    <col customWidth="1" min="6" max="6" width="13"/>
    <col customWidth="1" min="7" max="7" width="12.21875"/>
    <col customWidth="1" min="9" max="9" width="12.6640625"/>
    <col customWidth="1" min="12" max="12" width="13.77734375"/>
  </cols>
  <sheetData>
    <row r="1" ht="20.25">
      <c r="A1" s="1" t="s">
        <v>288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>
      <c r="B2" s="19" t="s">
        <v>102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ht="17.25">
      <c r="C3" s="5" t="s">
        <v>289</v>
      </c>
      <c r="D3" s="5"/>
      <c r="E3" s="31">
        <f>SUM(Einnahmen[Umfang])</f>
        <v>8430</v>
      </c>
    </row>
    <row r="4" ht="17.25">
      <c r="C4" s="5"/>
      <c r="D4" s="5"/>
      <c r="E4" s="31"/>
    </row>
    <row r="5" ht="61.200000000000003" customHeight="1">
      <c r="A5" t="s">
        <v>104</v>
      </c>
      <c r="B5" s="7" t="s">
        <v>105</v>
      </c>
      <c r="C5" s="7" t="s">
        <v>106</v>
      </c>
      <c r="D5" s="7" t="s">
        <v>107</v>
      </c>
      <c r="E5" s="7" t="s">
        <v>290</v>
      </c>
      <c r="F5" s="7" t="s">
        <v>18</v>
      </c>
      <c r="G5" s="7" t="s">
        <v>291</v>
      </c>
      <c r="H5" s="7" t="s">
        <v>292</v>
      </c>
      <c r="I5" s="7" t="s">
        <v>11</v>
      </c>
      <c r="J5" s="7" t="s">
        <v>293</v>
      </c>
      <c r="K5" s="7" t="s">
        <v>294</v>
      </c>
      <c r="L5" s="7" t="s">
        <v>295</v>
      </c>
    </row>
    <row r="6">
      <c r="A6" s="21">
        <v>1</v>
      </c>
      <c r="B6" t="s">
        <v>296</v>
      </c>
      <c r="C6" t="s">
        <v>297</v>
      </c>
      <c r="E6" s="8">
        <v>1000</v>
      </c>
      <c r="F6" t="s">
        <v>90</v>
      </c>
      <c r="G6" s="23"/>
      <c r="I6" t="s">
        <v>135</v>
      </c>
      <c r="J6" s="23"/>
    </row>
    <row r="7">
      <c r="A7" s="21">
        <v>2</v>
      </c>
      <c r="B7" t="s">
        <v>298</v>
      </c>
      <c r="C7" t="s">
        <v>299</v>
      </c>
      <c r="E7" s="8">
        <v>2500</v>
      </c>
      <c r="F7" t="s">
        <v>92</v>
      </c>
      <c r="G7" s="23"/>
      <c r="I7" t="s">
        <v>135</v>
      </c>
      <c r="J7" s="23"/>
    </row>
    <row r="8">
      <c r="A8" s="21">
        <v>3</v>
      </c>
      <c r="B8" t="s">
        <v>300</v>
      </c>
      <c r="E8" s="8">
        <v>500</v>
      </c>
      <c r="F8" t="s">
        <v>90</v>
      </c>
      <c r="G8" s="23"/>
      <c r="I8" s="30" t="s">
        <v>135</v>
      </c>
      <c r="J8" s="23"/>
    </row>
    <row r="9">
      <c r="A9" s="21">
        <v>4</v>
      </c>
      <c r="B9" t="s">
        <v>301</v>
      </c>
      <c r="E9" s="8">
        <v>430</v>
      </c>
      <c r="F9" t="s">
        <v>90</v>
      </c>
      <c r="G9" s="23"/>
      <c r="I9" t="s">
        <v>135</v>
      </c>
      <c r="J9" s="23"/>
    </row>
    <row r="10">
      <c r="A10" s="21">
        <v>5</v>
      </c>
      <c r="B10" t="s">
        <v>302</v>
      </c>
      <c r="C10" t="s">
        <v>303</v>
      </c>
      <c r="E10" s="8">
        <v>2500</v>
      </c>
      <c r="F10" t="s">
        <v>94</v>
      </c>
      <c r="G10" s="23"/>
      <c r="I10" t="s">
        <v>135</v>
      </c>
      <c r="J10" s="23"/>
    </row>
    <row r="11">
      <c r="A11" s="21">
        <v>6</v>
      </c>
      <c r="B11" t="s">
        <v>304</v>
      </c>
      <c r="E11" s="8">
        <v>500</v>
      </c>
      <c r="F11" t="s">
        <v>90</v>
      </c>
      <c r="G11" s="23"/>
      <c r="I11" t="s">
        <v>135</v>
      </c>
      <c r="J11" s="23"/>
    </row>
    <row r="12">
      <c r="A12" s="21">
        <v>7</v>
      </c>
      <c r="B12" t="s">
        <v>305</v>
      </c>
      <c r="E12" s="8">
        <v>1000</v>
      </c>
      <c r="F12" t="s">
        <v>100</v>
      </c>
      <c r="G12" s="23"/>
      <c r="J12" s="23"/>
    </row>
    <row r="13">
      <c r="A13" s="21">
        <v>8</v>
      </c>
      <c r="E13" s="8">
        <v>0</v>
      </c>
      <c r="G13" s="23"/>
      <c r="J13" s="23"/>
    </row>
    <row r="14">
      <c r="A14" s="21">
        <v>9</v>
      </c>
      <c r="E14" s="8">
        <v>0</v>
      </c>
      <c r="G14" s="23"/>
      <c r="J14" s="23"/>
    </row>
    <row r="15">
      <c r="A15" s="21">
        <v>10</v>
      </c>
      <c r="E15" s="8">
        <v>0</v>
      </c>
      <c r="G15" s="23"/>
      <c r="J15" s="23"/>
    </row>
    <row r="16">
      <c r="A16" s="21">
        <v>11</v>
      </c>
      <c r="E16" s="8">
        <v>0</v>
      </c>
      <c r="G16" s="23"/>
      <c r="J16" s="23"/>
      <c r="K16" s="23"/>
    </row>
    <row r="17">
      <c r="A17" s="21">
        <v>12</v>
      </c>
      <c r="E17" s="8">
        <v>0</v>
      </c>
      <c r="G17" s="23"/>
      <c r="J17" s="23"/>
      <c r="K17" s="23"/>
      <c r="L17" s="23"/>
    </row>
    <row r="18">
      <c r="A18" s="21">
        <v>13</v>
      </c>
      <c r="E18" s="8">
        <v>0</v>
      </c>
      <c r="G18" s="23"/>
      <c r="J18" s="23"/>
      <c r="K18" s="23"/>
      <c r="L18" s="23"/>
    </row>
    <row r="19">
      <c r="A19" s="21">
        <v>14</v>
      </c>
      <c r="E19" s="8">
        <v>0</v>
      </c>
      <c r="G19" s="23"/>
    </row>
    <row r="20">
      <c r="A20" s="21">
        <v>15</v>
      </c>
      <c r="E20" s="8">
        <v>0</v>
      </c>
      <c r="G20" s="23"/>
    </row>
    <row r="21">
      <c r="A21" s="21">
        <v>16</v>
      </c>
      <c r="E21" s="8">
        <v>0</v>
      </c>
      <c r="G21" s="23"/>
    </row>
    <row r="22">
      <c r="A22" s="21">
        <v>17</v>
      </c>
      <c r="E22" s="8">
        <v>0</v>
      </c>
      <c r="G22" s="23"/>
    </row>
    <row r="23">
      <c r="A23" s="21">
        <v>18</v>
      </c>
      <c r="E23" s="8">
        <v>0</v>
      </c>
      <c r="G23" s="23"/>
    </row>
    <row r="24">
      <c r="A24" s="21">
        <v>19</v>
      </c>
      <c r="E24" s="8">
        <v>0</v>
      </c>
      <c r="G24" s="23"/>
    </row>
    <row r="25">
      <c r="A25" s="21">
        <v>20</v>
      </c>
      <c r="E25" s="8">
        <v>0</v>
      </c>
      <c r="G25" s="23"/>
    </row>
    <row r="26">
      <c r="A26" s="21">
        <v>21</v>
      </c>
      <c r="E26" s="8">
        <v>0</v>
      </c>
      <c r="G26" s="23"/>
    </row>
    <row r="27">
      <c r="A27" s="21">
        <v>22</v>
      </c>
      <c r="E27" s="8">
        <v>0</v>
      </c>
      <c r="G27" s="23"/>
    </row>
    <row r="28">
      <c r="A28" s="21">
        <v>23</v>
      </c>
      <c r="E28" s="8">
        <v>0</v>
      </c>
      <c r="G28" s="23"/>
    </row>
    <row r="29">
      <c r="A29" s="21">
        <v>24</v>
      </c>
      <c r="E29" s="8">
        <v>0</v>
      </c>
      <c r="G29" s="23"/>
    </row>
    <row r="30">
      <c r="A30" s="21">
        <v>25</v>
      </c>
      <c r="E30" s="8">
        <v>0</v>
      </c>
      <c r="G30" s="23"/>
    </row>
    <row r="31">
      <c r="A31" s="21">
        <v>26</v>
      </c>
      <c r="E31" s="8">
        <v>0</v>
      </c>
      <c r="G31" s="23"/>
    </row>
    <row r="32">
      <c r="E32" s="32"/>
    </row>
    <row r="33">
      <c r="E33" s="32"/>
    </row>
    <row r="34">
      <c r="E34" s="32"/>
    </row>
    <row r="35">
      <c r="E35" s="32"/>
    </row>
    <row r="36">
      <c r="E36" s="32"/>
    </row>
    <row r="37">
      <c r="E37" s="32"/>
    </row>
    <row r="38">
      <c r="E38" s="32"/>
    </row>
    <row r="39">
      <c r="E39" s="32"/>
    </row>
    <row r="40">
      <c r="E40" s="32"/>
    </row>
    <row r="41">
      <c r="E41" s="32"/>
    </row>
    <row r="42">
      <c r="E42" s="32"/>
    </row>
    <row r="43">
      <c r="E43" s="32"/>
    </row>
    <row r="44">
      <c r="E44" s="32"/>
    </row>
    <row r="45">
      <c r="E45" s="32"/>
    </row>
    <row r="46">
      <c r="E46" s="32"/>
    </row>
    <row r="47">
      <c r="E47" s="32"/>
    </row>
    <row r="48">
      <c r="E48" s="32"/>
    </row>
    <row r="49">
      <c r="E49" s="32"/>
    </row>
    <row r="50">
      <c r="E50" s="32"/>
    </row>
    <row r="51">
      <c r="E51" s="32"/>
    </row>
    <row r="52">
      <c r="E52" s="32"/>
    </row>
    <row r="53">
      <c r="E53" s="32"/>
    </row>
    <row r="54">
      <c r="E54" s="32"/>
    </row>
    <row r="55">
      <c r="E55" s="32"/>
    </row>
    <row r="56">
      <c r="E56" s="32"/>
    </row>
    <row r="57">
      <c r="E57" s="32"/>
    </row>
    <row r="58">
      <c r="E58" s="32"/>
    </row>
    <row r="59">
      <c r="E59" s="32"/>
    </row>
    <row r="60">
      <c r="E60" s="32"/>
    </row>
    <row r="61">
      <c r="E61" s="32"/>
    </row>
    <row r="62">
      <c r="E62" s="32"/>
    </row>
    <row r="63">
      <c r="E63" s="32"/>
    </row>
    <row r="64">
      <c r="E64" s="32"/>
    </row>
    <row r="65">
      <c r="E65" s="32"/>
    </row>
    <row r="66">
      <c r="E66" s="32"/>
    </row>
    <row r="67">
      <c r="E67" s="32"/>
    </row>
    <row r="68">
      <c r="E68" s="32"/>
    </row>
    <row r="69">
      <c r="E69" s="32"/>
    </row>
    <row r="70">
      <c r="E70" s="32"/>
    </row>
    <row r="71">
      <c r="E71" s="32"/>
    </row>
    <row r="72">
      <c r="E72" s="32"/>
    </row>
    <row r="73">
      <c r="E73" s="32"/>
    </row>
    <row r="74">
      <c r="E74" s="32"/>
    </row>
    <row r="75">
      <c r="E75" s="32"/>
    </row>
    <row r="76">
      <c r="E76" s="32"/>
    </row>
    <row r="77">
      <c r="E77" s="32"/>
    </row>
    <row r="78">
      <c r="E78" s="32"/>
    </row>
    <row r="79">
      <c r="E79" s="32"/>
    </row>
    <row r="80">
      <c r="E80" s="32"/>
    </row>
    <row r="81">
      <c r="E81" s="32"/>
    </row>
    <row r="82">
      <c r="E82" s="32"/>
    </row>
    <row r="83">
      <c r="E83" s="32"/>
    </row>
    <row r="84">
      <c r="E84" s="32"/>
    </row>
    <row r="85">
      <c r="E85" s="32"/>
    </row>
    <row r="86">
      <c r="E86" s="32"/>
    </row>
    <row r="87">
      <c r="E87" s="32"/>
    </row>
    <row r="88">
      <c r="E88" s="32"/>
    </row>
    <row r="89">
      <c r="E89" s="32"/>
    </row>
    <row r="90">
      <c r="E90" s="32"/>
    </row>
    <row r="91">
      <c r="E91" s="32"/>
    </row>
    <row r="92">
      <c r="E92" s="32"/>
    </row>
    <row r="93">
      <c r="E93" s="32"/>
    </row>
    <row r="94">
      <c r="E94" s="32"/>
    </row>
    <row r="95">
      <c r="E95" s="32"/>
    </row>
    <row r="96">
      <c r="E96" s="32"/>
    </row>
    <row r="97">
      <c r="E97" s="32"/>
    </row>
    <row r="98">
      <c r="E98" s="32"/>
    </row>
    <row r="99">
      <c r="E99" s="32"/>
    </row>
    <row r="100">
      <c r="E100" s="32"/>
    </row>
    <row r="101">
      <c r="E101" s="32"/>
    </row>
    <row r="102">
      <c r="E102" s="32"/>
    </row>
    <row r="103">
      <c r="E103" s="32"/>
    </row>
    <row r="104">
      <c r="E104" s="32"/>
    </row>
    <row r="105">
      <c r="E105" s="32"/>
    </row>
    <row r="106">
      <c r="E106" s="32"/>
    </row>
    <row r="107">
      <c r="E107" s="32"/>
    </row>
    <row r="108">
      <c r="E108" s="32"/>
    </row>
    <row r="109">
      <c r="E109" s="32"/>
    </row>
    <row r="110">
      <c r="E110" s="32"/>
    </row>
    <row r="111">
      <c r="E111" s="32"/>
    </row>
    <row r="112">
      <c r="E112" s="32"/>
    </row>
    <row r="113">
      <c r="E113" s="32"/>
    </row>
    <row r="114">
      <c r="E114" s="32"/>
    </row>
    <row r="115">
      <c r="E115" s="32"/>
    </row>
    <row r="116">
      <c r="E116" s="32"/>
    </row>
    <row r="117">
      <c r="E117" s="32"/>
    </row>
    <row r="118">
      <c r="E118" s="32"/>
    </row>
    <row r="119">
      <c r="E119" s="32"/>
    </row>
    <row r="120">
      <c r="E120" s="32"/>
    </row>
    <row r="121">
      <c r="E121" s="32"/>
    </row>
    <row r="122">
      <c r="E122" s="32"/>
    </row>
    <row r="123">
      <c r="E123" s="32"/>
    </row>
    <row r="124">
      <c r="E124" s="32"/>
    </row>
    <row r="125">
      <c r="E125" s="32"/>
    </row>
    <row r="126">
      <c r="E126" s="32"/>
    </row>
    <row r="127">
      <c r="E127" s="32"/>
    </row>
    <row r="128">
      <c r="E128" s="32"/>
    </row>
    <row r="129">
      <c r="E129" s="32"/>
    </row>
    <row r="130">
      <c r="E130" s="32"/>
    </row>
    <row r="131">
      <c r="E131" s="32"/>
    </row>
    <row r="132">
      <c r="E132" s="32"/>
    </row>
    <row r="133">
      <c r="E133" s="32"/>
    </row>
    <row r="134">
      <c r="E134" s="32"/>
    </row>
    <row r="135">
      <c r="E135" s="32"/>
    </row>
    <row r="136">
      <c r="E136" s="32"/>
    </row>
    <row r="137">
      <c r="E137" s="32"/>
    </row>
    <row r="138">
      <c r="E138" s="32"/>
    </row>
    <row r="139">
      <c r="E139" s="32"/>
    </row>
    <row r="140">
      <c r="E140" s="32"/>
    </row>
    <row r="141">
      <c r="E141" s="32"/>
    </row>
    <row r="142">
      <c r="E142" s="32"/>
    </row>
    <row r="143">
      <c r="E143" s="32"/>
    </row>
    <row r="144">
      <c r="E144" s="32"/>
    </row>
    <row r="145">
      <c r="E145" s="32"/>
    </row>
    <row r="146">
      <c r="E146" s="32"/>
    </row>
    <row r="147">
      <c r="E147" s="32"/>
    </row>
    <row r="148">
      <c r="E148" s="32"/>
    </row>
    <row r="149">
      <c r="E149" s="32"/>
    </row>
    <row r="150">
      <c r="E150" s="32"/>
    </row>
    <row r="151">
      <c r="E151" s="32"/>
    </row>
    <row r="152">
      <c r="E152" s="32"/>
    </row>
    <row r="153">
      <c r="E153" s="32"/>
    </row>
    <row r="154">
      <c r="E154" s="32"/>
    </row>
    <row r="155">
      <c r="E155" s="32"/>
    </row>
    <row r="156">
      <c r="E156" s="32"/>
    </row>
    <row r="157">
      <c r="E157" s="32"/>
    </row>
    <row r="158">
      <c r="E158" s="32"/>
    </row>
    <row r="159">
      <c r="E159" s="32"/>
    </row>
    <row r="160">
      <c r="E160" s="32"/>
    </row>
    <row r="161">
      <c r="E161" s="32"/>
    </row>
    <row r="162">
      <c r="E162" s="32"/>
    </row>
    <row r="163">
      <c r="E163" s="32"/>
    </row>
    <row r="164">
      <c r="E164" s="32"/>
    </row>
    <row r="165">
      <c r="E165" s="32"/>
    </row>
    <row r="166">
      <c r="E166" s="32"/>
    </row>
    <row r="167">
      <c r="E167" s="32"/>
    </row>
    <row r="168">
      <c r="E168" s="32"/>
    </row>
    <row r="169">
      <c r="E169" s="32"/>
    </row>
    <row r="170">
      <c r="E170" s="32"/>
    </row>
    <row r="171">
      <c r="E171" s="32"/>
    </row>
    <row r="172">
      <c r="E172" s="32"/>
    </row>
    <row r="173">
      <c r="E173" s="32"/>
    </row>
    <row r="174">
      <c r="E174" s="32"/>
    </row>
    <row r="175">
      <c r="E175" s="32"/>
    </row>
    <row r="176">
      <c r="E176" s="32"/>
    </row>
    <row r="177">
      <c r="E177" s="32"/>
    </row>
    <row r="178">
      <c r="E178" s="32"/>
    </row>
    <row r="179">
      <c r="E179" s="32"/>
    </row>
    <row r="180">
      <c r="E180" s="32"/>
    </row>
    <row r="181">
      <c r="E181" s="32"/>
    </row>
    <row r="182">
      <c r="E182" s="32"/>
    </row>
    <row r="183">
      <c r="E183" s="32"/>
    </row>
    <row r="184">
      <c r="E184" s="32"/>
    </row>
    <row r="185">
      <c r="E185" s="32"/>
    </row>
    <row r="186">
      <c r="E186" s="32"/>
    </row>
    <row r="187">
      <c r="E187" s="32"/>
    </row>
    <row r="188">
      <c r="E188" s="32"/>
    </row>
    <row r="189">
      <c r="E189" s="32"/>
    </row>
    <row r="190">
      <c r="E190" s="32"/>
    </row>
    <row r="191">
      <c r="E191" s="32"/>
    </row>
    <row r="192">
      <c r="E192" s="32"/>
    </row>
    <row r="193">
      <c r="E193" s="32"/>
    </row>
    <row r="194">
      <c r="E194" s="32"/>
    </row>
    <row r="195">
      <c r="E195" s="32"/>
    </row>
    <row r="196">
      <c r="E196" s="32"/>
    </row>
    <row r="197">
      <c r="E197" s="32"/>
    </row>
    <row r="198">
      <c r="E198" s="32"/>
    </row>
    <row r="199">
      <c r="E199" s="32"/>
    </row>
    <row r="200">
      <c r="E200" s="32"/>
    </row>
    <row r="201">
      <c r="E201" s="8"/>
      <c r="G201" s="23"/>
    </row>
    <row r="202">
      <c r="E202" s="8"/>
      <c r="G202" s="23"/>
    </row>
    <row r="203">
      <c r="E203" s="8"/>
      <c r="G203" s="23"/>
    </row>
    <row r="204">
      <c r="E204" s="8"/>
      <c r="G204" s="23"/>
    </row>
  </sheetData>
  <mergeCells count="1">
    <mergeCell ref="B2:L2"/>
  </mergeCells>
  <dataValidations count="3" disablePrompts="0">
    <dataValidation sqref="I6:I7 I9:I31" type="list" allowBlank="1" errorStyle="stop" imeMode="noControl" operator="between" showDropDown="0" showErrorMessage="1" showInputMessage="1">
      <formula1>Reference!$A$5:$A$19</formula1>
    </dataValidation>
    <dataValidation sqref="F6:F31" type="list" allowBlank="1" errorStyle="stop" imeMode="noControl" operator="between" showDropDown="0" showErrorMessage="1" showInputMessage="1">
      <formula1>'Finanzplan StuPa'!$B$5:$B$42</formula1>
    </dataValidation>
    <dataValidation sqref="I8" type="list" allowBlank="1" errorStyle="stop" imeMode="noControl" operator="between" showDropDown="0" showErrorMessage="1" showInputMessage="1">
      <formula1>Reference!$A$5:$A$19</formula1>
    </dataValidation>
  </dataValidations>
  <printOptions headings="0" gridLines="0"/>
  <pageMargins left="0.69999999999999996" right="0.69999999999999996" top="0.78740157500000008" bottom="0.78740157500000008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2147483648" verticalDpi="0" copies="1"/>
  <headerFooter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C900EA-0088-4D1F-ACB3-0069004D0041}" type="decimal" allowBlank="1" error="Hier dürfen nur Einnahmen eingetragen werden, also positive Beträge. Ausgaben in anderem Tabellenblatt vermerken." errorStyle="stop" errorTitle="Achtung, nur Einnahmen eintragen" imeMode="noControl" operator="greaterThanOrEqual" showDropDown="0" showErrorMessage="1" showInputMessage="1">
          <x14:formula1>
            <xm:f>0</xm:f>
          </x14:formula1>
          <xm:sqref>E6:E31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7" activeCellId="0" sqref="A17"/>
    </sheetView>
  </sheetViews>
  <sheetFormatPr baseColWidth="10" defaultRowHeight="14.4"/>
  <cols>
    <col customWidth="1" min="1" max="1" width="15.5546875"/>
    <col customWidth="1" min="3" max="3" width="19.6640625"/>
  </cols>
  <sheetData>
    <row r="1" ht="19.800000000000001">
      <c r="A1" s="1" t="s">
        <v>306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>
      <c r="A2" s="19" t="s">
        <v>102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4">
      <c r="A4" t="s">
        <v>307</v>
      </c>
      <c r="C4" t="s">
        <v>308</v>
      </c>
    </row>
    <row r="5">
      <c r="A5" t="s">
        <v>31</v>
      </c>
      <c r="C5" s="33" t="s">
        <v>30</v>
      </c>
    </row>
    <row r="6">
      <c r="A6" t="s">
        <v>233</v>
      </c>
      <c r="C6" s="34" t="s">
        <v>59</v>
      </c>
    </row>
    <row r="7">
      <c r="A7" t="s">
        <v>309</v>
      </c>
      <c r="C7" s="34" t="s">
        <v>68</v>
      </c>
    </row>
    <row r="8">
      <c r="A8" t="s">
        <v>129</v>
      </c>
      <c r="C8" s="34" t="s">
        <v>73</v>
      </c>
    </row>
    <row r="9">
      <c r="A9" t="s">
        <v>310</v>
      </c>
      <c r="C9" s="33" t="s">
        <v>80</v>
      </c>
    </row>
    <row r="10">
      <c r="A10" t="s">
        <v>162</v>
      </c>
      <c r="C10" s="34" t="s">
        <v>2</v>
      </c>
    </row>
    <row r="11">
      <c r="A11" t="s">
        <v>127</v>
      </c>
    </row>
    <row r="12">
      <c r="A12" t="s">
        <v>135</v>
      </c>
    </row>
    <row r="13">
      <c r="A13" t="s">
        <v>123</v>
      </c>
    </row>
    <row r="14">
      <c r="A14" t="s">
        <v>311</v>
      </c>
    </row>
    <row r="15">
      <c r="A15" t="s">
        <v>156</v>
      </c>
    </row>
    <row r="16">
      <c r="A16" t="s">
        <v>71</v>
      </c>
    </row>
    <row r="17">
      <c r="A17" t="s">
        <v>144</v>
      </c>
    </row>
  </sheetData>
  <mergeCells count="1">
    <mergeCell ref="A2:M2"/>
  </mergeCells>
  <printOptions headings="0" gridLines="0"/>
  <pageMargins left="0.69999999999999996" right="0.69999999999999996" top="0.78740157500000008" bottom="0.78740157500000008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ONLYOFFICE/8.2.1.38</Application>
  <DocSecurity>0</DocSecurity>
  <ScaleCrop>0</ScaleCrop>
  <HeadingPairs>
    <vt:vector size="0" baseType="variant"/>
  </HeadingPairs>
  <TitlesOfParts>
    <vt:vector size="0" baseType="lpstr"/>
  </TitlesOfParts>
  <Manager/>
  <Company/>
  <LinksUpToDate>0</LinksUpToDate>
  <SharedDoc>0</SharedDoc>
  <HyperlinkBase/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Dennis Wicknus</dc:creator>
  <cp:keywords/>
  <dc:description/>
  <cp:lastModifiedBy>Campusfestival Kiel AStA CAU (suvas308)</cp:lastModifiedBy>
  <cp:revision>63</cp:revision>
  <dcterms:created xsi:type="dcterms:W3CDTF">2024-02-05T21:45:19Z</dcterms:created>
  <dcterms:modified xsi:type="dcterms:W3CDTF">2025-05-19T12:25:28Z</dcterms:modified>
  <cp:category/>
  <cp:contentStatus/>
</cp:coreProperties>
</file>